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375" windowWidth="19200" windowHeight="12000" activeTab="1"/>
  </bookViews>
  <sheets>
    <sheet name="Instructions" sheetId="1" r:id="rId1"/>
    <sheet name="Calculations" sheetId="2" r:id="rId2"/>
    <sheet name="Formulas " sheetId="3" r:id="rId3"/>
    <sheet name="Taul1" sheetId="4" r:id="rId4"/>
  </sheets>
  <definedNames>
    <definedName name="_ftn1" localSheetId="1">'Calculations'!#REF!</definedName>
    <definedName name="_ftnref1" localSheetId="1">'Calculations'!$A$80</definedName>
  </definedNames>
  <calcPr fullCalcOnLoad="1"/>
</workbook>
</file>

<file path=xl/sharedStrings.xml><?xml version="1.0" encoding="utf-8"?>
<sst xmlns="http://schemas.openxmlformats.org/spreadsheetml/2006/main" count="410" uniqueCount="201">
  <si>
    <t>Wood criteria fulfilled?</t>
  </si>
  <si>
    <t>Producer name:</t>
  </si>
  <si>
    <t>Paper name:</t>
  </si>
  <si>
    <t>Fill in reference values for fuel and elec. consumption in Table 1</t>
  </si>
  <si>
    <t>Write 100 in Table 4 in the cell for the paper machine used</t>
  </si>
  <si>
    <r>
      <t xml:space="preserve">Fill in energy use (kWh) </t>
    </r>
    <r>
      <rPr>
        <b/>
        <u val="single"/>
        <sz val="14"/>
        <rFont val="Geneva"/>
        <family val="2"/>
      </rPr>
      <t>or</t>
    </r>
    <r>
      <rPr>
        <b/>
        <sz val="14"/>
        <rFont val="Geneva"/>
        <family val="2"/>
      </rPr>
      <t xml:space="preserve"> weighted energy points in Table 1</t>
    </r>
  </si>
  <si>
    <t>Fill in procuer name and paper name in top of Calculations sheet</t>
  </si>
  <si>
    <t>Date:</t>
  </si>
  <si>
    <t>Write 100 in the cell for the paper machine used</t>
  </si>
  <si>
    <t>Table 1</t>
  </si>
  <si>
    <t>Table 2</t>
  </si>
  <si>
    <t>Table 3</t>
  </si>
  <si>
    <t>Fuel use</t>
  </si>
  <si>
    <t>Electricity use</t>
  </si>
  <si>
    <t>Calculated Energy points</t>
  </si>
  <si>
    <t>Ppulp(elec)</t>
  </si>
  <si>
    <t>Ppulp(fuel)</t>
  </si>
  <si>
    <t>Pulps total weighted</t>
  </si>
  <si>
    <t>Table 8</t>
  </si>
  <si>
    <t>Table 4</t>
  </si>
  <si>
    <t>Table 5</t>
  </si>
  <si>
    <t>Table 6</t>
  </si>
  <si>
    <t>Table 7</t>
  </si>
  <si>
    <t>Sum</t>
  </si>
  <si>
    <t>Dear Applicant</t>
  </si>
  <si>
    <t>Reference values for emissions (kg/tonne 90% pulp or tonne paper)</t>
  </si>
  <si>
    <t>True?</t>
  </si>
  <si>
    <t>COD</t>
  </si>
  <si>
    <t>P</t>
  </si>
  <si>
    <t>S</t>
  </si>
  <si>
    <t>NOx</t>
  </si>
  <si>
    <t>AOX</t>
  </si>
  <si>
    <t>Limit</t>
  </si>
  <si>
    <t>Pulp name</t>
  </si>
  <si>
    <t>Recycled fibre pulp (DIP)</t>
  </si>
  <si>
    <t>TMP/Groundwood for tissue paper</t>
  </si>
  <si>
    <t>TMP/Groundwood for printing paper</t>
  </si>
  <si>
    <t>Paper machine</t>
  </si>
  <si>
    <t>tissue paper</t>
  </si>
  <si>
    <t>Bleached chemical pulp (sulphate and other pulps except sulphite pulp)</t>
  </si>
  <si>
    <t>Bleached chemical pulp (sulphite pulp)</t>
  </si>
  <si>
    <t>Unbleached chemical pulp</t>
  </si>
  <si>
    <t>CTMP pulp</t>
  </si>
  <si>
    <t xml:space="preserve">Purchased broke </t>
  </si>
  <si>
    <r>
      <t>P</t>
    </r>
    <r>
      <rPr>
        <b/>
        <vertAlign val="subscript"/>
        <sz val="14"/>
        <rFont val="Geneva"/>
        <family val="0"/>
      </rPr>
      <t>emission total</t>
    </r>
  </si>
  <si>
    <r>
      <t>COD</t>
    </r>
    <r>
      <rPr>
        <b/>
        <vertAlign val="subscript"/>
        <sz val="10"/>
        <color indexed="8"/>
        <rFont val="Geneva"/>
        <family val="0"/>
      </rPr>
      <t>ref</t>
    </r>
  </si>
  <si>
    <r>
      <t>P</t>
    </r>
    <r>
      <rPr>
        <b/>
        <vertAlign val="subscript"/>
        <sz val="10"/>
        <color indexed="8"/>
        <rFont val="Geneva"/>
        <family val="0"/>
      </rPr>
      <t>ref</t>
    </r>
  </si>
  <si>
    <r>
      <t>S</t>
    </r>
    <r>
      <rPr>
        <b/>
        <vertAlign val="subscript"/>
        <sz val="10"/>
        <color indexed="8"/>
        <rFont val="Geneva"/>
        <family val="0"/>
      </rPr>
      <t>ref</t>
    </r>
  </si>
  <si>
    <t>Referense values from the criteria</t>
  </si>
  <si>
    <t>Pulp type (pulp, i) or paper</t>
  </si>
  <si>
    <t>Production site</t>
  </si>
  <si>
    <t>Total paper machine</t>
  </si>
  <si>
    <t>Total pulp</t>
  </si>
  <si>
    <t>Pulp +paper production</t>
  </si>
  <si>
    <t>Instruction A separate values for pulp and paper known:</t>
  </si>
  <si>
    <t>Instruction B, separate value for pulp and paper machine not known.</t>
  </si>
  <si>
    <t>Pulp share, mi, t adp (90%) per t Adt (95%)</t>
  </si>
  <si>
    <t>Emissions and energy use for the pulp production</t>
  </si>
  <si>
    <t>Pulp type</t>
  </si>
  <si>
    <t>Effluent from pulp production (kg/90% tonne pulp)</t>
  </si>
  <si>
    <t>Fill in pulp names, amounts used and pulp emissions in Table 1</t>
  </si>
  <si>
    <t>Energy use for pulp production (kWh/90% tonne pulp)</t>
  </si>
  <si>
    <t>Automatically calculated values</t>
  </si>
  <si>
    <t>Calculated total referense values (kg/tonne paper)</t>
  </si>
  <si>
    <t>Do not fill in separate emissions for paper machine in Table 2 (since they are not known)</t>
  </si>
  <si>
    <r>
      <t>CO</t>
    </r>
    <r>
      <rPr>
        <b/>
        <vertAlign val="subscript"/>
        <sz val="10"/>
        <rFont val="Geneva"/>
        <family val="0"/>
      </rPr>
      <t>2</t>
    </r>
    <r>
      <rPr>
        <b/>
        <sz val="10"/>
        <rFont val="Geneva"/>
        <family val="0"/>
      </rPr>
      <t>-emission</t>
    </r>
  </si>
  <si>
    <t>or</t>
  </si>
  <si>
    <t>90% pulp/paper</t>
  </si>
  <si>
    <t>Hereof internally produced electricity</t>
  </si>
  <si>
    <t>Hereof internally produced el</t>
  </si>
  <si>
    <t>Fuel ref</t>
  </si>
  <si>
    <t>Electricity ref</t>
  </si>
  <si>
    <t>Fuel, ref</t>
  </si>
  <si>
    <t>Fuel, use</t>
  </si>
  <si>
    <t>Electricity, ref</t>
  </si>
  <si>
    <t>Fuel, ref weighted</t>
  </si>
  <si>
    <t>Electricity, ref weighted</t>
  </si>
  <si>
    <t>Weighed energy points for pulps</t>
  </si>
  <si>
    <t>Weighted share of energy reference values</t>
  </si>
  <si>
    <r>
      <t>P</t>
    </r>
    <r>
      <rPr>
        <b/>
        <vertAlign val="subscript"/>
        <sz val="14"/>
        <rFont val="Geneva"/>
        <family val="0"/>
      </rPr>
      <t>paper and pulp electricity</t>
    </r>
  </si>
  <si>
    <r>
      <t>P</t>
    </r>
    <r>
      <rPr>
        <b/>
        <vertAlign val="subscript"/>
        <sz val="14"/>
        <rFont val="Geneva"/>
        <family val="0"/>
      </rPr>
      <t>paper electricity</t>
    </r>
  </si>
  <si>
    <r>
      <t>P</t>
    </r>
    <r>
      <rPr>
        <b/>
        <vertAlign val="subscript"/>
        <sz val="14"/>
        <rFont val="Geneva"/>
        <family val="0"/>
      </rPr>
      <t>paper fuel</t>
    </r>
  </si>
  <si>
    <t>Please follow the instructions below.</t>
  </si>
  <si>
    <t xml:space="preserve">Emissions (kg/tonne paper) and energy use (kWh/tonne paper) from paper production </t>
  </si>
  <si>
    <t>green</t>
  </si>
  <si>
    <t>blue</t>
  </si>
  <si>
    <t xml:space="preserve">Emission and energy calculations </t>
  </si>
  <si>
    <t>Total emissions (kg/tonne paper produced)</t>
  </si>
  <si>
    <r>
      <t>P</t>
    </r>
    <r>
      <rPr>
        <b/>
        <vertAlign val="subscript"/>
        <sz val="14"/>
        <rFont val="Geneva"/>
        <family val="0"/>
      </rPr>
      <t>pulp electricity</t>
    </r>
  </si>
  <si>
    <r>
      <t>P</t>
    </r>
    <r>
      <rPr>
        <b/>
        <vertAlign val="subscript"/>
        <sz val="14"/>
        <rFont val="Geneva"/>
        <family val="0"/>
      </rPr>
      <t>pulp fuel</t>
    </r>
  </si>
  <si>
    <r>
      <t>X</t>
    </r>
    <r>
      <rPr>
        <b/>
        <vertAlign val="subscript"/>
        <sz val="14"/>
        <rFont val="Geneva"/>
        <family val="0"/>
      </rPr>
      <t>el, pulp</t>
    </r>
  </si>
  <si>
    <r>
      <t>X</t>
    </r>
    <r>
      <rPr>
        <b/>
        <vertAlign val="subscript"/>
        <sz val="14"/>
        <rFont val="Geneva"/>
        <family val="0"/>
      </rPr>
      <t>el, paper</t>
    </r>
  </si>
  <si>
    <r>
      <t>X</t>
    </r>
    <r>
      <rPr>
        <b/>
        <vertAlign val="subscript"/>
        <sz val="14"/>
        <rFont val="Geneva"/>
        <family val="0"/>
      </rPr>
      <t>fuel, pulp</t>
    </r>
  </si>
  <si>
    <r>
      <t>X</t>
    </r>
    <r>
      <rPr>
        <b/>
        <vertAlign val="subscript"/>
        <sz val="14"/>
        <rFont val="Geneva"/>
        <family val="0"/>
      </rPr>
      <t>fuel, paper</t>
    </r>
  </si>
  <si>
    <r>
      <t>P</t>
    </r>
    <r>
      <rPr>
        <b/>
        <vertAlign val="subscript"/>
        <sz val="14"/>
        <rFont val="Geneva"/>
        <family val="0"/>
      </rPr>
      <t>paper and pulp Fuel</t>
    </r>
  </si>
  <si>
    <r>
      <t>NOx</t>
    </r>
    <r>
      <rPr>
        <b/>
        <vertAlign val="subscript"/>
        <sz val="10"/>
        <rFont val="Geneva"/>
        <family val="0"/>
      </rPr>
      <t>total</t>
    </r>
  </si>
  <si>
    <t>Calculated value</t>
  </si>
  <si>
    <r>
      <t>P</t>
    </r>
    <r>
      <rPr>
        <b/>
        <vertAlign val="subscript"/>
        <sz val="14"/>
        <rFont val="Geneva"/>
        <family val="0"/>
      </rPr>
      <t>COD</t>
    </r>
  </si>
  <si>
    <r>
      <t>P</t>
    </r>
    <r>
      <rPr>
        <b/>
        <vertAlign val="subscript"/>
        <sz val="14"/>
        <rFont val="Geneva"/>
        <family val="0"/>
      </rPr>
      <t>P</t>
    </r>
  </si>
  <si>
    <r>
      <t>P</t>
    </r>
    <r>
      <rPr>
        <b/>
        <vertAlign val="subscript"/>
        <sz val="14"/>
        <rFont val="Geneva"/>
        <family val="0"/>
      </rPr>
      <t>S</t>
    </r>
  </si>
  <si>
    <r>
      <t>P</t>
    </r>
    <r>
      <rPr>
        <b/>
        <vertAlign val="subscript"/>
        <sz val="14"/>
        <rFont val="Geneva"/>
        <family val="0"/>
      </rPr>
      <t>NOx</t>
    </r>
  </si>
  <si>
    <t>Paper machine, tissue paper</t>
  </si>
  <si>
    <t>Weighted effl. from pulp production</t>
  </si>
  <si>
    <t>Weight %</t>
  </si>
  <si>
    <r>
      <t>COD</t>
    </r>
    <r>
      <rPr>
        <b/>
        <vertAlign val="subscript"/>
        <sz val="12"/>
        <rFont val="Geneva"/>
        <family val="0"/>
      </rPr>
      <t>reftotal</t>
    </r>
  </si>
  <si>
    <r>
      <t>P</t>
    </r>
    <r>
      <rPr>
        <b/>
        <vertAlign val="subscript"/>
        <sz val="12"/>
        <rFont val="Geneva"/>
        <family val="0"/>
      </rPr>
      <t>reftotal</t>
    </r>
  </si>
  <si>
    <r>
      <t>S</t>
    </r>
    <r>
      <rPr>
        <b/>
        <vertAlign val="subscript"/>
        <sz val="12"/>
        <rFont val="Geneva"/>
        <family val="0"/>
      </rPr>
      <t>reftotal</t>
    </r>
  </si>
  <si>
    <r>
      <t>NOx</t>
    </r>
    <r>
      <rPr>
        <b/>
        <vertAlign val="subscript"/>
        <sz val="12"/>
        <rFont val="Geneva"/>
        <family val="0"/>
      </rPr>
      <t>reftotal</t>
    </r>
  </si>
  <si>
    <t>X=Recycled fiber</t>
  </si>
  <si>
    <t>Calculated value for this paper, %</t>
  </si>
  <si>
    <t xml:space="preserve">Limit, %, one alternative </t>
  </si>
  <si>
    <t>cert. wood &gt; Y</t>
  </si>
  <si>
    <t>&gt;75</t>
  </si>
  <si>
    <t>Fibre from certified forest</t>
  </si>
  <si>
    <t>Recycled fibre,         %</t>
  </si>
  <si>
    <t>Fibre from cert. forest %</t>
  </si>
  <si>
    <t>Weighed fibre from cert.</t>
  </si>
  <si>
    <t>Weighed recycled fibre</t>
  </si>
  <si>
    <t>Weighted share fibre</t>
  </si>
  <si>
    <r>
      <t>COD</t>
    </r>
    <r>
      <rPr>
        <b/>
        <vertAlign val="subscript"/>
        <sz val="10"/>
        <rFont val="Geneva"/>
        <family val="0"/>
      </rPr>
      <t>total</t>
    </r>
  </si>
  <si>
    <r>
      <t>P</t>
    </r>
    <r>
      <rPr>
        <b/>
        <vertAlign val="subscript"/>
        <sz val="10"/>
        <rFont val="Geneva"/>
        <family val="0"/>
      </rPr>
      <t>total</t>
    </r>
  </si>
  <si>
    <r>
      <t>S</t>
    </r>
    <r>
      <rPr>
        <b/>
        <vertAlign val="subscript"/>
        <sz val="10"/>
        <rFont val="Geneva"/>
        <family val="0"/>
      </rPr>
      <t>total</t>
    </r>
  </si>
  <si>
    <t>kg used to make 1000 kg Adt (95%) paper</t>
  </si>
  <si>
    <t>Notice sum should be bigger than 1000 because of losses and water content in pulps.</t>
  </si>
  <si>
    <t>Filler, coating (non-fiber 100% DM)</t>
  </si>
  <si>
    <t>"True" can be shown in actual language, depending on the language of your programme</t>
  </si>
  <si>
    <t>Used raw material</t>
  </si>
  <si>
    <r>
      <t>NOx</t>
    </r>
    <r>
      <rPr>
        <b/>
        <vertAlign val="subscript"/>
        <sz val="10"/>
        <rFont val="Geneva"/>
        <family val="0"/>
      </rPr>
      <t>ref</t>
    </r>
  </si>
  <si>
    <t>Calculated emission points</t>
  </si>
  <si>
    <t>&gt;30</t>
  </si>
  <si>
    <t>Emissions of CO2 (kg/tonne paper produced)</t>
  </si>
  <si>
    <t>Bleached chemical pulp (sulphate 
and other pulps except sulphite pulp)</t>
  </si>
  <si>
    <t>Total emission of CO2</t>
  </si>
  <si>
    <t>Calculated 
CO2 emission</t>
  </si>
  <si>
    <t>pulp 1</t>
  </si>
  <si>
    <t>pulp example 1</t>
  </si>
  <si>
    <t xml:space="preserve">pulp example 2 </t>
  </si>
  <si>
    <t>pulp2</t>
  </si>
  <si>
    <t>Y=30-0,4*X</t>
  </si>
  <si>
    <r>
      <t>S</t>
    </r>
    <r>
      <rPr>
        <b/>
        <vertAlign val="superscript"/>
        <sz val="10"/>
        <rFont val="Geneva"/>
        <family val="0"/>
      </rPr>
      <t>1</t>
    </r>
  </si>
  <si>
    <t xml:space="preserve"> </t>
  </si>
  <si>
    <t>Fill in filler content in Table 1</t>
  </si>
  <si>
    <r>
      <t xml:space="preserve">Fill in energy use (kWh) </t>
    </r>
    <r>
      <rPr>
        <b/>
        <u val="single"/>
        <sz val="14"/>
        <rFont val="Geneva"/>
        <family val="0"/>
      </rPr>
      <t>or</t>
    </r>
    <r>
      <rPr>
        <b/>
        <sz val="14"/>
        <rFont val="Geneva"/>
        <family val="0"/>
      </rPr>
      <t xml:space="preserve"> weighed energy points in Table 1</t>
    </r>
  </si>
  <si>
    <t>Fill in emission and energy from the paper machine i Table 2</t>
  </si>
  <si>
    <t>Write 100  in Table 4 in the cell for the paper machine used</t>
  </si>
  <si>
    <r>
      <rPr>
        <vertAlign val="superscript"/>
        <sz val="10"/>
        <rFont val="Geneva"/>
        <family val="0"/>
      </rPr>
      <t>1)</t>
    </r>
    <r>
      <rPr>
        <sz val="10"/>
        <rFont val="Geneva"/>
        <family val="0"/>
      </rPr>
      <t xml:space="preserve"> Allocation in case of co-generation of heat and eleciticity is included in calculation</t>
    </r>
  </si>
  <si>
    <t>Process</t>
  </si>
  <si>
    <t xml:space="preserve">Fuel 
 kWh/t
 ref
</t>
  </si>
  <si>
    <t>Electricity
  kWh/t
 ref</t>
  </si>
  <si>
    <t>CTMP</t>
  </si>
  <si>
    <t>TMP</t>
  </si>
  <si>
    <t>Slip</t>
  </si>
  <si>
    <t>Bleached  chemical pulp</t>
  </si>
  <si>
    <t>Unbleached  chemical pulp</t>
  </si>
  <si>
    <t>Dried CTMP</t>
  </si>
  <si>
    <t>Dried TMP</t>
  </si>
  <si>
    <t>Dried slip</t>
  </si>
  <si>
    <t>Kind regards Nordic Ecolabelling</t>
  </si>
  <si>
    <t>pm1</t>
  </si>
  <si>
    <t xml:space="preserve">Tissue paper example calculation </t>
  </si>
  <si>
    <t>Tissue paper example calculation</t>
  </si>
  <si>
    <t>You can print this page out and have it beside You when calculations are made in the calculation sheet.</t>
  </si>
  <si>
    <t xml:space="preserve">This calculation sheet can help You to document your emissions and energy use for the Nordic Ecolabel, </t>
  </si>
  <si>
    <t>the Swan Label.</t>
  </si>
  <si>
    <t>Note that You can shift between this instruction sheet and the calculation sheet by clicking on the sheet</t>
  </si>
  <si>
    <t xml:space="preserve">banners at the bottom with the titles "Instructions" or "Calculations" or you can use </t>
  </si>
  <si>
    <t>CTRL + Page Up and CTRL + Page Down.</t>
  </si>
  <si>
    <t>The instructions differ whether separate emission data for pulp and paper are available (Instruction A)</t>
  </si>
  <si>
    <t xml:space="preserve"> or not (Instruction B). If not, the total emission for pulp + paper must be used as in Instruction B.</t>
  </si>
  <si>
    <t>Color in Table</t>
  </si>
  <si>
    <t>Fill in producer name and paper name in top of Calculations sheet</t>
  </si>
  <si>
    <t>Fill in CO2-data in Table 10</t>
  </si>
  <si>
    <t>Table 6, 7, 8, 9 and 10 will show if the requirements are fullfilled</t>
  </si>
  <si>
    <t xml:space="preserve">Fill in pulp names and amounts used in Table 1 </t>
  </si>
  <si>
    <t>Fill in emissions for pulp + paper machine in the row representing the pulp</t>
  </si>
  <si>
    <t xml:space="preserve">If market pulps are used in combination with the integrated pulp, fill in emissions for </t>
  </si>
  <si>
    <t>the market pulps in Table 1</t>
  </si>
  <si>
    <t>Table 6, 7, 8, 9 and 10 will show if the requirements are fulfilled</t>
  </si>
  <si>
    <t>Reference values for fuel and electricity used in pulp production and needed in Table 1 can be found from the following Table</t>
  </si>
  <si>
    <t>Dried bleached chemical pulp</t>
  </si>
  <si>
    <t>Dried Unbleached chemical pulp</t>
  </si>
  <si>
    <t>n.a.</t>
  </si>
  <si>
    <t>Please, do notice that in co-generation of heat and electricity, emissions of S and NOx from electricity production are not covered by the requirements.
However, total emissions from both heat and electricity are filled in columns I and J in Table 1. Subsequently, the allocation of emissions in case of co-generation of heat and electricity is automatically calculated and the emission values are reduced accordingly.</t>
  </si>
  <si>
    <t xml:space="preserve">TMP/Groundwood </t>
  </si>
  <si>
    <t>Table 10</t>
  </si>
  <si>
    <t>Is CO2 requirement fulfilled?</t>
  </si>
  <si>
    <t xml:space="preserve">Paper machines, tissue paper </t>
  </si>
  <si>
    <t>CO2 limit for tissue paper</t>
  </si>
  <si>
    <t>Table 9</t>
  </si>
  <si>
    <t xml:space="preserve">Bleached chemical pulp (sulphite pulp)
 </t>
  </si>
  <si>
    <t>Y = Required fibre from cert. forest with this proportion of recycled fibre in a paper</t>
  </si>
  <si>
    <t>Limit AOX for paper</t>
  </si>
  <si>
    <t>AOX criteria fulfilled?</t>
  </si>
  <si>
    <r>
      <t>NOx</t>
    </r>
    <r>
      <rPr>
        <b/>
        <vertAlign val="superscript"/>
        <sz val="10"/>
        <rFont val="Geneva"/>
        <family val="0"/>
      </rPr>
      <t>1</t>
    </r>
  </si>
  <si>
    <t>Nordic  Ecolabelled paper -Tissue Paper</t>
  </si>
  <si>
    <t>Tissue paper</t>
  </si>
  <si>
    <t>recycled fibre/DIP*</t>
  </si>
  <si>
    <t>Dried recycled fibre/DIP*</t>
  </si>
  <si>
    <r>
      <t>Reference values for fuel and electricity used in</t>
    </r>
    <r>
      <rPr>
        <b/>
        <sz val="14"/>
        <rFont val="Geneva"/>
        <family val="0"/>
      </rPr>
      <t xml:space="preserve"> tissue paper production</t>
    </r>
    <r>
      <rPr>
        <sz val="14"/>
        <rFont val="Geneva"/>
        <family val="0"/>
      </rPr>
      <t xml:space="preserve"> and needed in Table 2 can be found from the following Table</t>
    </r>
  </si>
  <si>
    <t>* Reference values of recycled fibre/DIP for tissue paper production are given in the Criteria of Tissue Paper, version 5.0</t>
  </si>
  <si>
    <t>Recycled fibre,   %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</si>
</sst>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0.000000000"/>
    <numFmt numFmtId="189" formatCode="0.0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;0;;@"/>
    <numFmt numFmtId="197" formatCode="0;000;;@"/>
    <numFmt numFmtId="198" formatCode="0.00;0;;@"/>
    <numFmt numFmtId="199" formatCode="0.000;0;;@"/>
    <numFmt numFmtId="200" formatCode="0.0"/>
    <numFmt numFmtId="201" formatCode="&quot;Kyllä&quot;;&quot;Kyllä&quot;;&quot;Ei&quot;"/>
    <numFmt numFmtId="202" formatCode="&quot;Tosi&quot;;&quot;Tosi&quot;;&quot;Epätosi&quot;"/>
    <numFmt numFmtId="203" formatCode="&quot;Käytössä&quot;;&quot;Käytössä&quot;;&quot;Ei käytössä&quot;"/>
    <numFmt numFmtId="204" formatCode="[$€-2]\ #\ ##,000_);[Red]\([$€-2]\ #\ ##,000\)"/>
  </numFmts>
  <fonts count="6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8"/>
      <name val="Geneva"/>
      <family val="0"/>
    </font>
    <font>
      <b/>
      <vertAlign val="subscript"/>
      <sz val="10"/>
      <color indexed="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vertAlign val="subscript"/>
      <sz val="10"/>
      <name val="Geneva"/>
      <family val="0"/>
    </font>
    <font>
      <b/>
      <vertAlign val="subscript"/>
      <sz val="14"/>
      <name val="Geneva"/>
      <family val="0"/>
    </font>
    <font>
      <sz val="14"/>
      <name val="Geneva"/>
      <family val="0"/>
    </font>
    <font>
      <b/>
      <u val="single"/>
      <sz val="14"/>
      <name val="Geneva"/>
      <family val="0"/>
    </font>
    <font>
      <b/>
      <sz val="36"/>
      <name val="Geneva"/>
      <family val="0"/>
    </font>
    <font>
      <b/>
      <sz val="24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b/>
      <vertAlign val="subscript"/>
      <sz val="12"/>
      <name val="Geneva"/>
      <family val="0"/>
    </font>
    <font>
      <b/>
      <vertAlign val="superscript"/>
      <sz val="10"/>
      <name val="Geneva"/>
      <family val="0"/>
    </font>
    <font>
      <vertAlign val="superscript"/>
      <sz val="10"/>
      <name val="Geneva"/>
      <family val="0"/>
    </font>
    <font>
      <b/>
      <i/>
      <sz val="14"/>
      <name val="Geneva"/>
      <family val="0"/>
    </font>
    <font>
      <sz val="12"/>
      <name val="Geneva"/>
      <family val="0"/>
    </font>
    <font>
      <b/>
      <sz val="11"/>
      <name val="Geneva"/>
      <family val="2"/>
    </font>
    <font>
      <sz val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2" fontId="5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left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15" fillId="33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4" fillId="34" borderId="0" xfId="0" applyFont="1" applyFill="1" applyAlignment="1">
      <alignment horizontal="center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16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7" fillId="34" borderId="17" xfId="0" applyFont="1" applyFill="1" applyBorder="1" applyAlignment="1" applyProtection="1">
      <alignment horizontal="left"/>
      <protection locked="0"/>
    </xf>
    <xf numFmtId="0" fontId="17" fillId="34" borderId="22" xfId="0" applyFont="1" applyFill="1" applyBorder="1" applyAlignment="1" applyProtection="1">
      <alignment horizontal="left"/>
      <protection locked="0"/>
    </xf>
    <xf numFmtId="0" fontId="17" fillId="34" borderId="23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2" fontId="1" fillId="0" borderId="26" xfId="0" applyNumberFormat="1" applyFont="1" applyFill="1" applyBorder="1" applyAlignment="1" applyProtection="1">
      <alignment/>
      <protection locked="0"/>
    </xf>
    <xf numFmtId="2" fontId="1" fillId="0" borderId="26" xfId="0" applyNumberFormat="1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horizontal="center" wrapText="1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wrapText="1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8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6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31" xfId="0" applyFill="1" applyBorder="1" applyAlignment="1" applyProtection="1">
      <alignment horizontal="left"/>
      <protection locked="0"/>
    </xf>
    <xf numFmtId="2" fontId="2" fillId="0" borderId="4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40" xfId="0" applyFont="1" applyFill="1" applyBorder="1" applyAlignment="1">
      <alignment horizontal="left"/>
    </xf>
    <xf numFmtId="2" fontId="0" fillId="0" borderId="25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6" xfId="0" applyFill="1" applyBorder="1" applyAlignment="1" applyProtection="1">
      <alignment horizontal="right"/>
      <protection locked="0"/>
    </xf>
    <xf numFmtId="0" fontId="0" fillId="0" borderId="41" xfId="0" applyFill="1" applyBorder="1" applyAlignment="1" applyProtection="1">
      <alignment horizontal="right"/>
      <protection locked="0"/>
    </xf>
    <xf numFmtId="0" fontId="0" fillId="0" borderId="27" xfId="0" applyFill="1" applyBorder="1" applyAlignment="1">
      <alignment/>
    </xf>
    <xf numFmtId="0" fontId="1" fillId="0" borderId="40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>
      <alignment horizontal="left"/>
    </xf>
    <xf numFmtId="0" fontId="4" fillId="0" borderId="3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ill="1" applyBorder="1" applyAlignment="1">
      <alignment/>
    </xf>
    <xf numFmtId="0" fontId="1" fillId="0" borderId="40" xfId="0" applyFont="1" applyFill="1" applyBorder="1" applyAlignment="1" applyProtection="1">
      <alignment horizontal="center" wrapText="1"/>
      <protection locked="0"/>
    </xf>
    <xf numFmtId="200" fontId="0" fillId="0" borderId="43" xfId="0" applyNumberFormat="1" applyFont="1" applyFill="1" applyBorder="1" applyAlignment="1">
      <alignment horizontal="center" vertical="top" wrapText="1"/>
    </xf>
    <xf numFmtId="2" fontId="0" fillId="0" borderId="43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left" vertical="top" wrapText="1"/>
    </xf>
    <xf numFmtId="200" fontId="0" fillId="0" borderId="44" xfId="0" applyNumberFormat="1" applyFont="1" applyFill="1" applyBorder="1" applyAlignment="1">
      <alignment horizontal="center" vertical="top" wrapText="1"/>
    </xf>
    <xf numFmtId="2" fontId="0" fillId="0" borderId="44" xfId="0" applyNumberFormat="1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/>
    </xf>
    <xf numFmtId="0" fontId="0" fillId="0" borderId="4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200" fontId="0" fillId="0" borderId="47" xfId="0" applyNumberFormat="1" applyFont="1" applyFill="1" applyBorder="1" applyAlignment="1">
      <alignment horizontal="center" vertical="top" wrapText="1"/>
    </xf>
    <xf numFmtId="2" fontId="0" fillId="0" borderId="47" xfId="0" applyNumberFormat="1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left" vertical="top" wrapText="1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5" fillId="0" borderId="20" xfId="0" applyFont="1" applyFill="1" applyBorder="1" applyAlignment="1" applyProtection="1">
      <alignment/>
      <protection locked="0"/>
    </xf>
    <xf numFmtId="0" fontId="0" fillId="0" borderId="26" xfId="0" applyFill="1" applyBorder="1" applyAlignment="1">
      <alignment/>
    </xf>
    <xf numFmtId="0" fontId="5" fillId="0" borderId="49" xfId="0" applyFont="1" applyFill="1" applyBorder="1" applyAlignment="1" applyProtection="1">
      <alignment horizontal="left"/>
      <protection locked="0"/>
    </xf>
    <xf numFmtId="2" fontId="1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5" fillId="0" borderId="52" xfId="0" applyFont="1" applyFill="1" applyBorder="1" applyAlignment="1" applyProtection="1">
      <alignment horizontal="left"/>
      <protection locked="0"/>
    </xf>
    <xf numFmtId="2" fontId="1" fillId="0" borderId="5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0" borderId="48" xfId="0" applyFont="1" applyFill="1" applyBorder="1" applyAlignment="1">
      <alignment horizontal="left"/>
    </xf>
    <xf numFmtId="2" fontId="1" fillId="0" borderId="5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2" fontId="1" fillId="0" borderId="4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" fillId="0" borderId="53" xfId="0" applyFont="1" applyFill="1" applyBorder="1" applyAlignment="1">
      <alignment/>
    </xf>
    <xf numFmtId="2" fontId="1" fillId="0" borderId="4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54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54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57" xfId="0" applyFill="1" applyBorder="1" applyAlignment="1" applyProtection="1">
      <alignment horizontal="center"/>
      <protection locked="0"/>
    </xf>
    <xf numFmtId="0" fontId="0" fillId="34" borderId="56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2" fontId="0" fillId="34" borderId="58" xfId="0" applyNumberFormat="1" applyFill="1" applyBorder="1" applyAlignment="1" applyProtection="1">
      <alignment horizontal="center"/>
      <protection locked="0"/>
    </xf>
    <xf numFmtId="2" fontId="0" fillId="34" borderId="47" xfId="0" applyNumberFormat="1" applyFill="1" applyBorder="1" applyAlignment="1" applyProtection="1">
      <alignment horizontal="center"/>
      <protection locked="0"/>
    </xf>
    <xf numFmtId="2" fontId="0" fillId="34" borderId="59" xfId="0" applyNumberFormat="1" applyFill="1" applyBorder="1" applyAlignment="1" applyProtection="1">
      <alignment horizontal="center"/>
      <protection locked="0"/>
    </xf>
    <xf numFmtId="2" fontId="0" fillId="34" borderId="54" xfId="0" applyNumberFormat="1" applyFill="1" applyBorder="1" applyAlignment="1" applyProtection="1">
      <alignment horizontal="center"/>
      <protection locked="0"/>
    </xf>
    <xf numFmtId="2" fontId="0" fillId="34" borderId="56" xfId="0" applyNumberForma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vertical="top"/>
    </xf>
    <xf numFmtId="0" fontId="19" fillId="0" borderId="40" xfId="0" applyFont="1" applyFill="1" applyBorder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left"/>
      <protection locked="0"/>
    </xf>
    <xf numFmtId="0" fontId="19" fillId="0" borderId="27" xfId="0" applyFont="1" applyFill="1" applyBorder="1" applyAlignment="1" applyProtection="1">
      <alignment horizontal="left"/>
      <protection locked="0"/>
    </xf>
    <xf numFmtId="0" fontId="19" fillId="0" borderId="42" xfId="0" applyFont="1" applyFill="1" applyBorder="1" applyAlignment="1">
      <alignment wrapText="1"/>
    </xf>
    <xf numFmtId="0" fontId="19" fillId="0" borderId="40" xfId="0" applyFont="1" applyFill="1" applyBorder="1" applyAlignment="1">
      <alignment wrapText="1"/>
    </xf>
    <xf numFmtId="2" fontId="1" fillId="0" borderId="60" xfId="0" applyNumberFormat="1" applyFont="1" applyFill="1" applyBorder="1" applyAlignment="1">
      <alignment horizontal="center"/>
    </xf>
    <xf numFmtId="2" fontId="1" fillId="0" borderId="52" xfId="0" applyNumberFormat="1" applyFont="1" applyFill="1" applyBorder="1" applyAlignment="1">
      <alignment horizontal="center"/>
    </xf>
    <xf numFmtId="0" fontId="0" fillId="0" borderId="48" xfId="0" applyFill="1" applyBorder="1" applyAlignment="1">
      <alignment wrapText="1"/>
    </xf>
    <xf numFmtId="1" fontId="0" fillId="0" borderId="61" xfId="0" applyNumberForma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57" xfId="0" applyNumberFormat="1" applyFill="1" applyBorder="1" applyAlignment="1" applyProtection="1">
      <alignment horizontal="center"/>
      <protection locked="0"/>
    </xf>
    <xf numFmtId="0" fontId="1" fillId="0" borderId="63" xfId="0" applyFont="1" applyFill="1" applyBorder="1" applyAlignment="1" applyProtection="1">
      <alignment horizontal="center" wrapText="1"/>
      <protection locked="0"/>
    </xf>
    <xf numFmtId="0" fontId="1" fillId="0" borderId="64" xfId="0" applyFont="1" applyFill="1" applyBorder="1" applyAlignment="1" applyProtection="1">
      <alignment horizontal="center" wrapText="1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65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>
      <alignment horizontal="center"/>
    </xf>
    <xf numFmtId="0" fontId="1" fillId="0" borderId="36" xfId="0" applyFont="1" applyFill="1" applyBorder="1" applyAlignment="1" applyProtection="1">
      <alignment wrapText="1"/>
      <protection locked="0"/>
    </xf>
    <xf numFmtId="0" fontId="1" fillId="0" borderId="4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/>
    </xf>
    <xf numFmtId="2" fontId="5" fillId="34" borderId="0" xfId="0" applyNumberFormat="1" applyFont="1" applyFill="1" applyAlignment="1" applyProtection="1">
      <alignment horizontal="center"/>
      <protection locked="0"/>
    </xf>
    <xf numFmtId="0" fontId="14" fillId="35" borderId="0" xfId="0" applyFont="1" applyFill="1" applyAlignment="1">
      <alignment horizontal="center"/>
    </xf>
    <xf numFmtId="2" fontId="0" fillId="35" borderId="66" xfId="0" applyNumberFormat="1" applyFill="1" applyBorder="1" applyAlignment="1" applyProtection="1">
      <alignment horizontal="center"/>
      <protection locked="0"/>
    </xf>
    <xf numFmtId="2" fontId="0" fillId="35" borderId="67" xfId="0" applyNumberFormat="1" applyFill="1" applyBorder="1" applyAlignment="1" applyProtection="1">
      <alignment horizontal="center"/>
      <protection locked="0"/>
    </xf>
    <xf numFmtId="2" fontId="0" fillId="35" borderId="53" xfId="0" applyNumberFormat="1" applyFill="1" applyBorder="1" applyAlignment="1" applyProtection="1">
      <alignment horizontal="center"/>
      <protection locked="0"/>
    </xf>
    <xf numFmtId="2" fontId="0" fillId="35" borderId="44" xfId="0" applyNumberFormat="1" applyFill="1" applyBorder="1" applyAlignment="1" applyProtection="1">
      <alignment horizontal="center"/>
      <protection locked="0"/>
    </xf>
    <xf numFmtId="2" fontId="0" fillId="35" borderId="54" xfId="0" applyNumberFormat="1" applyFill="1" applyBorder="1" applyAlignment="1" applyProtection="1">
      <alignment horizontal="center"/>
      <protection locked="0"/>
    </xf>
    <xf numFmtId="2" fontId="0" fillId="35" borderId="56" xfId="0" applyNumberForma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7" xfId="0" applyFill="1" applyBorder="1" applyAlignment="1" applyProtection="1">
      <alignment vertical="top"/>
      <protection locked="0"/>
    </xf>
    <xf numFmtId="0" fontId="0" fillId="0" borderId="38" xfId="0" applyFill="1" applyBorder="1" applyAlignment="1" applyProtection="1">
      <alignment vertical="top"/>
      <protection locked="0"/>
    </xf>
    <xf numFmtId="0" fontId="0" fillId="0" borderId="38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14" xfId="0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vertical="top"/>
    </xf>
    <xf numFmtId="2" fontId="0" fillId="0" borderId="0" xfId="0" applyNumberFormat="1" applyFill="1" applyAlignment="1">
      <alignment/>
    </xf>
    <xf numFmtId="1" fontId="0" fillId="34" borderId="24" xfId="0" applyNumberFormat="1" applyFill="1" applyBorder="1" applyAlignment="1" applyProtection="1">
      <alignment horizontal="center"/>
      <protection locked="0"/>
    </xf>
    <xf numFmtId="1" fontId="2" fillId="34" borderId="49" xfId="0" applyNumberFormat="1" applyFont="1" applyFill="1" applyBorder="1" applyAlignment="1" applyProtection="1">
      <alignment horizontal="center"/>
      <protection locked="0"/>
    </xf>
    <xf numFmtId="1" fontId="2" fillId="34" borderId="24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vertical="top"/>
      <protection locked="0"/>
    </xf>
    <xf numFmtId="0" fontId="0" fillId="0" borderId="20" xfId="0" applyFill="1" applyBorder="1" applyAlignment="1">
      <alignment vertical="top"/>
    </xf>
    <xf numFmtId="0" fontId="1" fillId="0" borderId="6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5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1" fillId="0" borderId="33" xfId="0" applyFont="1" applyFill="1" applyBorder="1" applyAlignment="1">
      <alignment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59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1" fontId="0" fillId="0" borderId="36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4" fillId="0" borderId="68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95" fontId="0" fillId="34" borderId="49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>
      <alignment horizontal="center"/>
    </xf>
    <xf numFmtId="195" fontId="0" fillId="34" borderId="24" xfId="0" applyNumberFormat="1" applyFont="1" applyFill="1" applyBorder="1" applyAlignment="1" applyProtection="1">
      <alignment horizontal="center"/>
      <protection locked="0"/>
    </xf>
    <xf numFmtId="1" fontId="0" fillId="34" borderId="69" xfId="0" applyNumberFormat="1" applyFont="1" applyFill="1" applyBorder="1" applyAlignment="1" applyProtection="1">
      <alignment horizontal="center"/>
      <protection locked="0"/>
    </xf>
    <xf numFmtId="1" fontId="0" fillId="34" borderId="49" xfId="0" applyNumberFormat="1" applyFont="1" applyFill="1" applyBorder="1" applyAlignment="1" applyProtection="1">
      <alignment horizontal="center"/>
      <protection locked="0"/>
    </xf>
    <xf numFmtId="1" fontId="0" fillId="34" borderId="61" xfId="0" applyNumberFormat="1" applyFont="1" applyFill="1" applyBorder="1" applyAlignment="1" applyProtection="1">
      <alignment horizontal="center"/>
      <protection locked="0"/>
    </xf>
    <xf numFmtId="1" fontId="0" fillId="34" borderId="61" xfId="0" applyNumberFormat="1" applyFont="1" applyFill="1" applyBorder="1" applyAlignment="1">
      <alignment horizontal="center"/>
    </xf>
    <xf numFmtId="1" fontId="0" fillId="34" borderId="61" xfId="0" applyNumberFormat="1" applyFont="1" applyFill="1" applyBorder="1" applyAlignment="1" applyProtection="1">
      <alignment/>
      <protection locked="0"/>
    </xf>
    <xf numFmtId="1" fontId="0" fillId="34" borderId="48" xfId="0" applyNumberFormat="1" applyFont="1" applyFill="1" applyBorder="1" applyAlignment="1" applyProtection="1">
      <alignment horizontal="center"/>
      <protection locked="0"/>
    </xf>
    <xf numFmtId="1" fontId="0" fillId="0" borderId="40" xfId="0" applyNumberFormat="1" applyFont="1" applyFill="1" applyBorder="1" applyAlignment="1" applyProtection="1">
      <alignment horizontal="center"/>
      <protection locked="0"/>
    </xf>
    <xf numFmtId="2" fontId="0" fillId="0" borderId="66" xfId="0" applyNumberFormat="1" applyFont="1" applyFill="1" applyBorder="1" applyAlignment="1" applyProtection="1">
      <alignment horizontal="center"/>
      <protection locked="0"/>
    </xf>
    <xf numFmtId="2" fontId="0" fillId="0" borderId="67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50" xfId="0" applyNumberFormat="1" applyFont="1" applyFill="1" applyBorder="1" applyAlignment="1" applyProtection="1">
      <alignment horizontal="center"/>
      <protection locked="0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33" xfId="0" applyNumberFormat="1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>
      <alignment horizontal="center" vertical="top" wrapText="1"/>
    </xf>
    <xf numFmtId="1" fontId="0" fillId="0" borderId="70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71" xfId="0" applyNumberFormat="1" applyFill="1" applyBorder="1" applyAlignment="1" applyProtection="1">
      <alignment horizontal="center"/>
      <protection locked="0"/>
    </xf>
    <xf numFmtId="2" fontId="0" fillId="0" borderId="72" xfId="0" applyNumberFormat="1" applyFill="1" applyBorder="1" applyAlignment="1" applyProtection="1">
      <alignment horizontal="center"/>
      <protection locked="0"/>
    </xf>
    <xf numFmtId="2" fontId="0" fillId="0" borderId="73" xfId="0" applyNumberFormat="1" applyFill="1" applyBorder="1" applyAlignment="1" applyProtection="1">
      <alignment horizontal="center"/>
      <protection locked="0"/>
    </xf>
    <xf numFmtId="2" fontId="0" fillId="0" borderId="74" xfId="0" applyNumberFormat="1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center"/>
      <protection locked="0"/>
    </xf>
    <xf numFmtId="2" fontId="0" fillId="0" borderId="75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4" fillId="0" borderId="0" xfId="0" applyFont="1" applyFill="1" applyAlignment="1" applyProtection="1">
      <alignment horizontal="left" vertical="top" wrapText="1"/>
      <protection locked="0"/>
    </xf>
    <xf numFmtId="0" fontId="1" fillId="0" borderId="57" xfId="0" applyFont="1" applyFill="1" applyBorder="1" applyAlignment="1">
      <alignment horizontal="left" vertical="top" wrapText="1"/>
    </xf>
    <xf numFmtId="200" fontId="1" fillId="0" borderId="56" xfId="0" applyNumberFormat="1" applyFont="1" applyFill="1" applyBorder="1" applyAlignment="1">
      <alignment horizontal="center" vertical="top" wrapText="1"/>
    </xf>
    <xf numFmtId="2" fontId="1" fillId="0" borderId="56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195" fontId="0" fillId="34" borderId="56" xfId="0" applyNumberFormat="1" applyFill="1" applyBorder="1" applyAlignment="1" applyProtection="1">
      <alignment horizontal="center"/>
      <protection locked="0"/>
    </xf>
    <xf numFmtId="0" fontId="1" fillId="34" borderId="56" xfId="0" applyFont="1" applyFill="1" applyBorder="1" applyAlignment="1">
      <alignment horizontal="center"/>
    </xf>
    <xf numFmtId="195" fontId="0" fillId="0" borderId="2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9" fillId="0" borderId="14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24" fillId="0" borderId="30" xfId="0" applyFont="1" applyBorder="1" applyAlignment="1">
      <alignment/>
    </xf>
    <xf numFmtId="0" fontId="19" fillId="0" borderId="26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4" fillId="0" borderId="14" xfId="0" applyFont="1" applyBorder="1" applyAlignment="1">
      <alignment/>
    </xf>
    <xf numFmtId="0" fontId="19" fillId="0" borderId="76" xfId="0" applyFont="1" applyBorder="1" applyAlignment="1">
      <alignment horizontal="center" vertical="top"/>
    </xf>
    <xf numFmtId="0" fontId="19" fillId="0" borderId="29" xfId="0" applyFont="1" applyBorder="1" applyAlignment="1">
      <alignment vertical="top"/>
    </xf>
    <xf numFmtId="0" fontId="19" fillId="0" borderId="2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3" fillId="33" borderId="0" xfId="0" applyFont="1" applyFill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77" xfId="0" applyFill="1" applyBorder="1" applyAlignment="1">
      <alignment/>
    </xf>
    <xf numFmtId="0" fontId="5" fillId="0" borderId="29" xfId="0" applyFont="1" applyFill="1" applyBorder="1" applyAlignment="1">
      <alignment/>
    </xf>
    <xf numFmtId="1" fontId="1" fillId="0" borderId="30" xfId="0" applyNumberFormat="1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9" fillId="0" borderId="29" xfId="0" applyFont="1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9" fillId="0" borderId="29" xfId="0" applyFont="1" applyBorder="1" applyAlignment="1">
      <alignment vertical="top"/>
    </xf>
    <xf numFmtId="0" fontId="19" fillId="0" borderId="29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  <protection locked="0"/>
    </xf>
    <xf numFmtId="0" fontId="19" fillId="0" borderId="38" xfId="0" applyFont="1" applyBorder="1" applyAlignment="1">
      <alignment vertical="top"/>
    </xf>
    <xf numFmtId="0" fontId="24" fillId="0" borderId="26" xfId="0" applyFont="1" applyBorder="1" applyAlignment="1">
      <alignment/>
    </xf>
    <xf numFmtId="0" fontId="24" fillId="0" borderId="41" xfId="0" applyFont="1" applyBorder="1" applyAlignment="1">
      <alignment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vertical="center" wrapText="1"/>
      <protection locked="0"/>
    </xf>
    <xf numFmtId="2" fontId="1" fillId="0" borderId="29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30" xfId="0" applyNumberFormat="1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7" fillId="34" borderId="17" xfId="0" applyFont="1" applyFill="1" applyBorder="1" applyAlignment="1" applyProtection="1">
      <alignment horizontal="left"/>
      <protection locked="0"/>
    </xf>
    <xf numFmtId="0" fontId="17" fillId="34" borderId="22" xfId="0" applyFont="1" applyFill="1" applyBorder="1" applyAlignment="1" applyProtection="1">
      <alignment horizontal="left"/>
      <protection locked="0"/>
    </xf>
    <xf numFmtId="0" fontId="17" fillId="34" borderId="23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 applyProtection="1">
      <alignment horizontal="left"/>
      <protection locked="0"/>
    </xf>
    <xf numFmtId="0" fontId="4" fillId="34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11" fillId="0" borderId="60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1" fillId="0" borderId="29" xfId="0" applyFont="1" applyFill="1" applyBorder="1" applyAlignment="1" applyProtection="1">
      <alignment horizontal="center" wrapText="1"/>
      <protection locked="0"/>
    </xf>
    <xf numFmtId="0" fontId="1" fillId="0" borderId="30" xfId="0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7" fillId="34" borderId="17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>
      <alignment vertical="top" wrapText="1"/>
    </xf>
    <xf numFmtId="0" fontId="1" fillId="0" borderId="40" xfId="0" applyFont="1" applyFill="1" applyBorder="1" applyAlignment="1">
      <alignment horizontal="center" vertical="top"/>
    </xf>
    <xf numFmtId="0" fontId="0" fillId="0" borderId="29" xfId="0" applyFill="1" applyBorder="1" applyAlignment="1">
      <alignment horizontal="left" vertical="top"/>
    </xf>
    <xf numFmtId="0" fontId="0" fillId="34" borderId="79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81" xfId="0" applyFill="1" applyBorder="1" applyAlignment="1">
      <alignment horizontal="center"/>
    </xf>
    <xf numFmtId="0" fontId="0" fillId="34" borderId="82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0" fillId="34" borderId="84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69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63" xfId="0" applyFill="1" applyBorder="1" applyAlignment="1" applyProtection="1">
      <alignment vertical="top" wrapText="1"/>
      <protection locked="0"/>
    </xf>
    <xf numFmtId="0" fontId="0" fillId="0" borderId="3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25" fillId="0" borderId="27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1" fillId="0" borderId="4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7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9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>
      <alignment vertical="top"/>
    </xf>
    <xf numFmtId="0" fontId="5" fillId="0" borderId="24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>
      <alignment horizontal="center"/>
    </xf>
    <xf numFmtId="0" fontId="5" fillId="0" borderId="48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>
      <alignment/>
    </xf>
    <xf numFmtId="0" fontId="8" fillId="0" borderId="29" xfId="0" applyFont="1" applyFill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1" fillId="0" borderId="27" xfId="0" applyFont="1" applyFill="1" applyBorder="1" applyAlignment="1" applyProtection="1">
      <alignment horizontal="center" wrapText="1"/>
      <protection locked="0"/>
    </xf>
    <xf numFmtId="2" fontId="0" fillId="0" borderId="27" xfId="0" applyNumberFormat="1" applyFont="1" applyFill="1" applyBorder="1" applyAlignment="1">
      <alignment horizontal="center" vertical="top" wrapText="1"/>
    </xf>
    <xf numFmtId="2" fontId="0" fillId="0" borderId="27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2" fontId="0" fillId="0" borderId="59" xfId="0" applyNumberFormat="1" applyFill="1" applyBorder="1" applyAlignment="1">
      <alignment horizontal="center"/>
    </xf>
    <xf numFmtId="0" fontId="0" fillId="0" borderId="52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/>
    </xf>
    <xf numFmtId="195" fontId="0" fillId="34" borderId="47" xfId="0" applyNumberFormat="1" applyFill="1" applyBorder="1" applyAlignment="1" applyProtection="1">
      <alignment horizontal="center"/>
      <protection locked="0"/>
    </xf>
    <xf numFmtId="0" fontId="0" fillId="34" borderId="58" xfId="0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2" fontId="0" fillId="0" borderId="85" xfId="0" applyNumberFormat="1" applyFill="1" applyBorder="1" applyAlignment="1" applyProtection="1">
      <alignment horizontal="center"/>
      <protection locked="0"/>
    </xf>
    <xf numFmtId="2" fontId="0" fillId="0" borderId="8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62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 locked="0"/>
    </xf>
    <xf numFmtId="14" fontId="4" fillId="34" borderId="17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0" borderId="26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zoomScalePageLayoutView="0" workbookViewId="0" topLeftCell="A1">
      <selection activeCell="J53" sqref="J53"/>
    </sheetView>
  </sheetViews>
  <sheetFormatPr defaultColWidth="8.75390625" defaultRowHeight="12.75"/>
  <cols>
    <col min="1" max="1" width="8.75390625" style="0" customWidth="1"/>
    <col min="2" max="2" width="11.25390625" style="0" customWidth="1"/>
    <col min="3" max="3" width="9.375" style="0" customWidth="1"/>
    <col min="4" max="4" width="9.75390625" style="0" customWidth="1"/>
    <col min="5" max="5" width="12.875" style="0" customWidth="1"/>
    <col min="6" max="6" width="13.25390625" style="0" customWidth="1"/>
    <col min="7" max="9" width="8.75390625" style="0" customWidth="1"/>
    <col min="10" max="10" width="10.25390625" style="0" customWidth="1"/>
    <col min="11" max="15" width="8.75390625" style="0" customWidth="1"/>
    <col min="16" max="16" width="12.00390625" style="0" customWidth="1"/>
  </cols>
  <sheetData>
    <row r="2" ht="18.75">
      <c r="A2" s="297" t="s">
        <v>24</v>
      </c>
    </row>
    <row r="3" ht="18">
      <c r="A3" s="53" t="s">
        <v>161</v>
      </c>
    </row>
    <row r="4" ht="18">
      <c r="A4" s="53" t="s">
        <v>162</v>
      </c>
    </row>
    <row r="5" ht="18">
      <c r="A5" s="53" t="s">
        <v>163</v>
      </c>
    </row>
    <row r="6" ht="18">
      <c r="A6" s="53"/>
    </row>
    <row r="7" ht="18">
      <c r="A7" s="53" t="s">
        <v>82</v>
      </c>
    </row>
    <row r="8" ht="18">
      <c r="A8" s="53"/>
    </row>
    <row r="9" ht="18">
      <c r="A9" s="53" t="s">
        <v>164</v>
      </c>
    </row>
    <row r="10" ht="18">
      <c r="A10" s="53" t="s">
        <v>165</v>
      </c>
    </row>
    <row r="11" ht="18">
      <c r="A11" s="53" t="s">
        <v>166</v>
      </c>
    </row>
    <row r="12" ht="18">
      <c r="A12" s="53"/>
    </row>
    <row r="13" ht="18">
      <c r="A13" s="53" t="s">
        <v>167</v>
      </c>
    </row>
    <row r="14" ht="18">
      <c r="A14" s="53" t="s">
        <v>168</v>
      </c>
    </row>
    <row r="15" ht="18">
      <c r="M15" s="53" t="s">
        <v>169</v>
      </c>
    </row>
    <row r="16" spans="1:14" ht="18">
      <c r="A16" s="22" t="s">
        <v>54</v>
      </c>
      <c r="B16" s="12"/>
      <c r="C16" s="12"/>
      <c r="D16" s="12"/>
      <c r="E16" s="12"/>
      <c r="F16" s="13"/>
      <c r="G16" s="13"/>
      <c r="H16" s="13"/>
      <c r="I16" s="52"/>
      <c r="J16" s="52"/>
      <c r="K16" s="52"/>
      <c r="L16" s="52"/>
      <c r="M16" s="53" t="s">
        <v>84</v>
      </c>
      <c r="N16" s="53" t="s">
        <v>85</v>
      </c>
    </row>
    <row r="17" spans="1:14" ht="18">
      <c r="A17" s="17" t="s">
        <v>170</v>
      </c>
      <c r="B17" s="12"/>
      <c r="C17" s="12"/>
      <c r="D17" s="12"/>
      <c r="E17" s="12"/>
      <c r="F17" s="52"/>
      <c r="G17" s="52"/>
      <c r="H17" s="13"/>
      <c r="I17" s="52"/>
      <c r="J17" s="52"/>
      <c r="K17" s="52"/>
      <c r="L17" s="52"/>
      <c r="M17" s="29"/>
      <c r="N17" s="23"/>
    </row>
    <row r="18" spans="1:14" ht="18">
      <c r="A18" s="17" t="s">
        <v>60</v>
      </c>
      <c r="B18" s="12"/>
      <c r="C18" s="12"/>
      <c r="D18" s="12"/>
      <c r="E18" s="13"/>
      <c r="F18" s="52"/>
      <c r="G18" s="52"/>
      <c r="H18" s="44"/>
      <c r="I18" s="52"/>
      <c r="J18" s="52"/>
      <c r="K18" s="52"/>
      <c r="L18" s="52"/>
      <c r="M18" s="29"/>
      <c r="N18" s="23"/>
    </row>
    <row r="19" spans="1:14" ht="18">
      <c r="A19" s="17" t="s">
        <v>141</v>
      </c>
      <c r="B19" s="12"/>
      <c r="C19" s="12"/>
      <c r="D19" s="12"/>
      <c r="E19" s="13"/>
      <c r="F19" s="52"/>
      <c r="G19" s="52"/>
      <c r="H19" s="44"/>
      <c r="I19" s="52"/>
      <c r="J19" s="52"/>
      <c r="K19" s="52"/>
      <c r="L19" s="52"/>
      <c r="M19" s="29"/>
      <c r="N19" s="23"/>
    </row>
    <row r="20" spans="1:14" ht="18">
      <c r="A20" s="17" t="s">
        <v>142</v>
      </c>
      <c r="B20" s="12"/>
      <c r="C20" s="12"/>
      <c r="D20" s="12"/>
      <c r="E20" s="13"/>
      <c r="F20" s="52"/>
      <c r="G20" s="52"/>
      <c r="H20" s="13"/>
      <c r="I20" s="52"/>
      <c r="J20" s="52"/>
      <c r="K20" s="52"/>
      <c r="L20" s="52"/>
      <c r="M20" s="29"/>
      <c r="N20" s="208" t="s">
        <v>66</v>
      </c>
    </row>
    <row r="21" spans="1:14" ht="18">
      <c r="A21" s="17" t="s">
        <v>3</v>
      </c>
      <c r="B21" s="12"/>
      <c r="C21" s="12"/>
      <c r="D21" s="12"/>
      <c r="E21" s="13"/>
      <c r="F21" s="52"/>
      <c r="G21" s="52"/>
      <c r="H21" s="44"/>
      <c r="I21" s="52"/>
      <c r="J21" s="52"/>
      <c r="K21" s="52"/>
      <c r="L21" s="52"/>
      <c r="M21" s="29"/>
      <c r="N21" s="23"/>
    </row>
    <row r="22" spans="1:14" ht="18">
      <c r="A22" s="17" t="s">
        <v>143</v>
      </c>
      <c r="B22" s="12"/>
      <c r="C22" s="12"/>
      <c r="D22" s="12"/>
      <c r="E22" s="13"/>
      <c r="F22" s="52"/>
      <c r="G22" s="52"/>
      <c r="H22" s="44"/>
      <c r="I22" s="52"/>
      <c r="J22" s="52"/>
      <c r="K22" s="52"/>
      <c r="L22" s="52"/>
      <c r="M22" s="29"/>
      <c r="N22" s="23"/>
    </row>
    <row r="23" spans="1:14" ht="18">
      <c r="A23" s="17" t="s">
        <v>144</v>
      </c>
      <c r="B23" s="12"/>
      <c r="C23" s="12"/>
      <c r="D23" s="12"/>
      <c r="E23" s="13"/>
      <c r="F23" s="52"/>
      <c r="G23" s="52"/>
      <c r="H23" s="44"/>
      <c r="I23" s="52"/>
      <c r="J23" s="52"/>
      <c r="K23" s="52"/>
      <c r="L23" s="52"/>
      <c r="M23" s="29"/>
      <c r="N23" s="23"/>
    </row>
    <row r="24" spans="1:14" ht="18">
      <c r="A24" s="18" t="s">
        <v>171</v>
      </c>
      <c r="B24" s="16"/>
      <c r="C24" s="16"/>
      <c r="D24" s="16"/>
      <c r="E24" s="15"/>
      <c r="F24" s="52"/>
      <c r="G24" s="52"/>
      <c r="H24" s="44"/>
      <c r="I24" s="52"/>
      <c r="J24" s="52"/>
      <c r="K24" s="52"/>
      <c r="L24" s="52"/>
      <c r="M24" s="29"/>
      <c r="N24" s="24"/>
    </row>
    <row r="25" spans="1:13" ht="15" customHeight="1">
      <c r="A25" s="18"/>
      <c r="B25" s="16"/>
      <c r="C25" s="16"/>
      <c r="D25" s="16"/>
      <c r="E25" s="15"/>
      <c r="F25" s="52"/>
      <c r="G25" s="52"/>
      <c r="H25" s="44"/>
      <c r="I25" s="52"/>
      <c r="J25" s="52"/>
      <c r="K25" s="13"/>
      <c r="L25" s="44"/>
      <c r="M25" s="255"/>
    </row>
    <row r="26" spans="1:12" ht="18">
      <c r="A26" s="18" t="s">
        <v>172</v>
      </c>
      <c r="B26" s="16"/>
      <c r="C26" s="16"/>
      <c r="D26" s="16"/>
      <c r="E26" s="15"/>
      <c r="F26" s="52"/>
      <c r="G26" s="52"/>
      <c r="H26" s="44"/>
      <c r="I26" s="52"/>
      <c r="J26" s="52"/>
      <c r="K26" s="16"/>
      <c r="L26" s="44"/>
    </row>
    <row r="27" ht="12" customHeight="1"/>
    <row r="28" spans="1:14" ht="18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14" t="s">
        <v>84</v>
      </c>
      <c r="N28" s="14" t="s">
        <v>85</v>
      </c>
    </row>
    <row r="29" spans="1:14" ht="18">
      <c r="A29" s="46" t="s">
        <v>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9"/>
      <c r="N29" s="23"/>
    </row>
    <row r="30" spans="1:14" ht="18">
      <c r="A30" s="46" t="s">
        <v>173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29"/>
      <c r="N30" s="23"/>
    </row>
    <row r="31" spans="1:14" ht="18">
      <c r="A31" s="46" t="s">
        <v>174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29"/>
      <c r="N31" s="23"/>
    </row>
    <row r="32" spans="1:14" ht="18">
      <c r="A32" s="46" t="s">
        <v>64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29"/>
      <c r="N32" s="23"/>
    </row>
    <row r="33" spans="1:14" ht="18">
      <c r="A33" s="46" t="s">
        <v>175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29"/>
      <c r="N33" s="23"/>
    </row>
    <row r="34" spans="1:14" ht="18">
      <c r="A34" s="46" t="s">
        <v>176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29"/>
      <c r="N34" s="23"/>
    </row>
    <row r="35" spans="1:14" ht="18">
      <c r="A35" s="46" t="s">
        <v>141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9"/>
      <c r="N35" s="23"/>
    </row>
    <row r="36" spans="1:14" ht="18">
      <c r="A36" s="46" t="s">
        <v>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9"/>
      <c r="N36" s="208" t="s">
        <v>66</v>
      </c>
    </row>
    <row r="37" spans="1:14" ht="18">
      <c r="A37" s="46" t="s">
        <v>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29"/>
      <c r="N37" s="23"/>
    </row>
    <row r="38" spans="1:14" ht="18">
      <c r="A38" s="46" t="s">
        <v>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9"/>
      <c r="N38" s="23"/>
    </row>
    <row r="39" spans="1:14" ht="18">
      <c r="A39" s="46" t="s">
        <v>171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29"/>
      <c r="N39" s="24"/>
    </row>
    <row r="40" spans="1:14" ht="9" customHeight="1">
      <c r="A40" s="4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29"/>
      <c r="N40" s="24"/>
    </row>
    <row r="41" spans="1:14" ht="18">
      <c r="A41" s="46" t="s">
        <v>177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07"/>
      <c r="N41" s="24"/>
    </row>
    <row r="42" spans="1:14" s="1" customFormat="1" ht="12" customHeight="1">
      <c r="A42" s="4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4"/>
    </row>
    <row r="43" spans="1:13" ht="36" customHeight="1">
      <c r="A43" s="333" t="s">
        <v>198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</row>
    <row r="44" spans="1:13" ht="14.25" customHeight="1" thickBot="1">
      <c r="A44" s="31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</row>
    <row r="45" spans="1:6" ht="48.75" customHeight="1" thickBot="1">
      <c r="A45" s="339" t="s">
        <v>146</v>
      </c>
      <c r="B45" s="340"/>
      <c r="C45" s="340"/>
      <c r="D45" s="341"/>
      <c r="E45" s="311" t="s">
        <v>147</v>
      </c>
      <c r="F45" s="312" t="s">
        <v>148</v>
      </c>
    </row>
    <row r="46" spans="1:6" ht="20.25" customHeight="1" thickBot="1">
      <c r="A46" s="320" t="s">
        <v>195</v>
      </c>
      <c r="B46" s="318"/>
      <c r="C46" s="318"/>
      <c r="D46" s="313"/>
      <c r="E46" s="311">
        <v>1800</v>
      </c>
      <c r="F46" s="312">
        <v>1030</v>
      </c>
    </row>
    <row r="47" ht="18" customHeight="1"/>
    <row r="48" spans="1:13" ht="39.75" customHeight="1">
      <c r="A48" s="333" t="s">
        <v>178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</row>
    <row r="49" ht="13.5" thickBot="1"/>
    <row r="50" spans="1:6" ht="55.5" customHeight="1" thickBot="1">
      <c r="A50" s="334" t="s">
        <v>146</v>
      </c>
      <c r="B50" s="331"/>
      <c r="C50" s="331"/>
      <c r="D50" s="332"/>
      <c r="E50" s="321" t="s">
        <v>147</v>
      </c>
      <c r="F50" s="312" t="s">
        <v>148</v>
      </c>
    </row>
    <row r="51" spans="1:6" ht="20.25" customHeight="1" thickBot="1">
      <c r="A51" s="335" t="s">
        <v>152</v>
      </c>
      <c r="B51" s="336"/>
      <c r="C51" s="336"/>
      <c r="D51" s="332"/>
      <c r="E51" s="314">
        <v>3750</v>
      </c>
      <c r="F51" s="315">
        <v>750</v>
      </c>
    </row>
    <row r="52" spans="1:6" ht="20.25" customHeight="1" thickBot="1">
      <c r="A52" s="335" t="s">
        <v>179</v>
      </c>
      <c r="B52" s="337"/>
      <c r="C52" s="337"/>
      <c r="D52" s="332"/>
      <c r="E52" s="316">
        <v>4750</v>
      </c>
      <c r="F52" s="317">
        <v>750</v>
      </c>
    </row>
    <row r="53" spans="1:6" ht="20.25" customHeight="1" thickBot="1">
      <c r="A53" s="335" t="s">
        <v>153</v>
      </c>
      <c r="B53" s="336"/>
      <c r="C53" s="336"/>
      <c r="D53" s="332"/>
      <c r="E53" s="322">
        <v>3200</v>
      </c>
      <c r="F53" s="319">
        <v>550</v>
      </c>
    </row>
    <row r="54" spans="1:6" ht="20.25" customHeight="1" thickBot="1">
      <c r="A54" s="335" t="s">
        <v>180</v>
      </c>
      <c r="B54" s="336"/>
      <c r="C54" s="336"/>
      <c r="D54" s="332"/>
      <c r="E54" s="316">
        <v>4500</v>
      </c>
      <c r="F54" s="317">
        <v>550</v>
      </c>
    </row>
    <row r="55" spans="1:6" ht="20.25" customHeight="1" thickBot="1">
      <c r="A55" s="330" t="s">
        <v>149</v>
      </c>
      <c r="B55" s="331"/>
      <c r="C55" s="331"/>
      <c r="D55" s="332"/>
      <c r="E55" s="322" t="s">
        <v>181</v>
      </c>
      <c r="F55" s="319">
        <v>2000</v>
      </c>
    </row>
    <row r="56" spans="1:6" ht="20.25" customHeight="1" thickBot="1">
      <c r="A56" s="330" t="s">
        <v>154</v>
      </c>
      <c r="B56" s="331"/>
      <c r="C56" s="331"/>
      <c r="D56" s="332"/>
      <c r="E56" s="316">
        <v>1000</v>
      </c>
      <c r="F56" s="317">
        <v>2000</v>
      </c>
    </row>
    <row r="57" spans="1:6" ht="20.25" customHeight="1" thickBot="1">
      <c r="A57" s="330" t="s">
        <v>196</v>
      </c>
      <c r="B57" s="331"/>
      <c r="C57" s="331"/>
      <c r="D57" s="332"/>
      <c r="E57" s="316">
        <v>500</v>
      </c>
      <c r="F57" s="317">
        <v>500</v>
      </c>
    </row>
    <row r="58" spans="1:6" ht="20.25" customHeight="1" thickBot="1">
      <c r="A58" s="330" t="s">
        <v>197</v>
      </c>
      <c r="B58" s="331"/>
      <c r="C58" s="331"/>
      <c r="D58" s="332"/>
      <c r="E58" s="316">
        <v>1500</v>
      </c>
      <c r="F58" s="317">
        <v>700</v>
      </c>
    </row>
    <row r="59" spans="1:6" ht="20.25" customHeight="1" thickBot="1">
      <c r="A59" s="330" t="s">
        <v>150</v>
      </c>
      <c r="B59" s="331"/>
      <c r="C59" s="331"/>
      <c r="D59" s="332"/>
      <c r="E59" s="322" t="s">
        <v>181</v>
      </c>
      <c r="F59" s="317">
        <v>2200</v>
      </c>
    </row>
    <row r="60" spans="1:6" ht="20.25" customHeight="1" thickBot="1">
      <c r="A60" s="330" t="s">
        <v>155</v>
      </c>
      <c r="B60" s="331"/>
      <c r="C60" s="331"/>
      <c r="D60" s="332"/>
      <c r="E60" s="316">
        <v>1000</v>
      </c>
      <c r="F60" s="317">
        <v>2200</v>
      </c>
    </row>
    <row r="61" spans="1:6" ht="20.25" customHeight="1" thickBot="1">
      <c r="A61" s="330" t="s">
        <v>151</v>
      </c>
      <c r="B61" s="331"/>
      <c r="C61" s="331"/>
      <c r="D61" s="332"/>
      <c r="E61" s="322" t="s">
        <v>181</v>
      </c>
      <c r="F61" s="317">
        <v>2000</v>
      </c>
    </row>
    <row r="62" spans="1:6" ht="20.25" customHeight="1" thickBot="1">
      <c r="A62" s="330" t="s">
        <v>156</v>
      </c>
      <c r="B62" s="331"/>
      <c r="C62" s="331"/>
      <c r="D62" s="332"/>
      <c r="E62" s="316">
        <v>1000</v>
      </c>
      <c r="F62" s="317">
        <v>2000</v>
      </c>
    </row>
    <row r="63" spans="1:6" ht="15.75" customHeight="1">
      <c r="A63" s="461" t="s">
        <v>199</v>
      </c>
      <c r="B63" s="462"/>
      <c r="C63" s="462"/>
      <c r="D63" s="462"/>
      <c r="E63" s="462"/>
      <c r="F63" s="462"/>
    </row>
    <row r="64" spans="1:6" ht="15" customHeight="1">
      <c r="A64" s="463"/>
      <c r="B64" s="463"/>
      <c r="C64" s="463"/>
      <c r="D64" s="463"/>
      <c r="E64" s="463"/>
      <c r="F64" s="463"/>
    </row>
    <row r="65" spans="1:14" s="1" customFormat="1" ht="114" customHeight="1">
      <c r="A65" s="333" t="s">
        <v>182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24"/>
    </row>
    <row r="66" spans="1:5" ht="18.75">
      <c r="A66" s="323" t="s">
        <v>157</v>
      </c>
      <c r="B66" s="323"/>
      <c r="C66" s="323"/>
      <c r="D66" s="323"/>
      <c r="E66" s="323"/>
    </row>
  </sheetData>
  <sheetProtection/>
  <mergeCells count="18">
    <mergeCell ref="A63:F64"/>
    <mergeCell ref="A43:M43"/>
    <mergeCell ref="A45:D45"/>
    <mergeCell ref="A48:M48"/>
    <mergeCell ref="A50:D50"/>
    <mergeCell ref="A51:D51"/>
    <mergeCell ref="A52:D52"/>
    <mergeCell ref="A53:D53"/>
    <mergeCell ref="A54:D54"/>
    <mergeCell ref="A61:D61"/>
    <mergeCell ref="A62:D62"/>
    <mergeCell ref="A65:M65"/>
    <mergeCell ref="A55:D55"/>
    <mergeCell ref="A56:D56"/>
    <mergeCell ref="A57:D57"/>
    <mergeCell ref="A58:D58"/>
    <mergeCell ref="A59:D59"/>
    <mergeCell ref="A60:D60"/>
  </mergeCells>
  <printOptions/>
  <pageMargins left="0.35433070866141736" right="0.15748031496062992" top="0.3937007874015748" bottom="0.1968503937007874" header="0" footer="0"/>
  <pageSetup horizontalDpi="600" verticalDpi="600" orientation="landscape" paperSize="9" r:id="rId1"/>
  <rowBreaks count="2" manualBreakCount="2">
    <brk id="26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0"/>
  <sheetViews>
    <sheetView tabSelected="1" zoomScale="87" zoomScaleNormal="87" workbookViewId="0" topLeftCell="A1">
      <selection activeCell="B7" sqref="B7"/>
    </sheetView>
  </sheetViews>
  <sheetFormatPr defaultColWidth="11.375" defaultRowHeight="12.75"/>
  <cols>
    <col min="1" max="1" width="29.75390625" style="1" customWidth="1"/>
    <col min="2" max="2" width="19.875" style="1" customWidth="1"/>
    <col min="3" max="3" width="16.25390625" style="1" customWidth="1"/>
    <col min="4" max="4" width="11.625" style="1" customWidth="1"/>
    <col min="5" max="5" width="13.625" style="1" customWidth="1"/>
    <col min="6" max="6" width="11.375" style="1" customWidth="1"/>
    <col min="7" max="7" width="12.125" style="1" customWidth="1"/>
    <col min="8" max="8" width="11.375" style="1" customWidth="1"/>
    <col min="9" max="9" width="17.375" style="1" customWidth="1"/>
    <col min="10" max="10" width="11.375" style="1" customWidth="1"/>
    <col min="11" max="11" width="11.00390625" style="1" bestFit="1" customWidth="1"/>
    <col min="12" max="12" width="11.375" style="1" customWidth="1"/>
    <col min="13" max="13" width="11.875" style="1" bestFit="1" customWidth="1"/>
    <col min="14" max="14" width="11.875" style="1" customWidth="1"/>
    <col min="15" max="15" width="11.125" style="1" customWidth="1"/>
    <col min="16" max="18" width="11.375" style="1" customWidth="1"/>
    <col min="19" max="19" width="11.625" style="1" customWidth="1"/>
    <col min="20" max="20" width="11.875" style="1" customWidth="1"/>
    <col min="21" max="16384" width="11.375" style="1" customWidth="1"/>
  </cols>
  <sheetData>
    <row r="1" spans="1:20" s="11" customFormat="1" ht="45">
      <c r="A1" s="356" t="s">
        <v>194</v>
      </c>
      <c r="B1" s="390"/>
      <c r="C1" s="390"/>
      <c r="D1" s="390"/>
      <c r="E1" s="390"/>
      <c r="F1" s="390"/>
      <c r="G1" s="390"/>
      <c r="H1" s="390"/>
      <c r="I1" s="390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11" customFormat="1" ht="45">
      <c r="A2" s="54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11" customFormat="1" ht="45">
      <c r="A3" s="43" t="s">
        <v>1</v>
      </c>
      <c r="B3" s="43"/>
      <c r="C3" s="363"/>
      <c r="D3" s="364"/>
      <c r="E3" s="364"/>
      <c r="F3" s="364"/>
      <c r="G3" s="364"/>
      <c r="H3" s="365"/>
      <c r="I3" s="43"/>
      <c r="J3" s="43"/>
      <c r="K3" s="43"/>
      <c r="L3" s="54"/>
      <c r="M3" s="54"/>
      <c r="N3" s="54"/>
      <c r="O3" s="54"/>
      <c r="P3" s="54"/>
      <c r="Q3" s="54"/>
      <c r="R3" s="54"/>
      <c r="S3" s="54"/>
      <c r="T3" s="54"/>
    </row>
    <row r="4" spans="1:20" s="11" customFormat="1" ht="45">
      <c r="A4" s="43" t="s">
        <v>2</v>
      </c>
      <c r="B4" s="43"/>
      <c r="C4" s="366" t="s">
        <v>159</v>
      </c>
      <c r="D4" s="367"/>
      <c r="E4" s="367"/>
      <c r="F4" s="367"/>
      <c r="G4" s="367"/>
      <c r="H4" s="368"/>
      <c r="I4" s="43"/>
      <c r="J4" s="43"/>
      <c r="K4" s="43"/>
      <c r="L4" s="54"/>
      <c r="M4" s="54"/>
      <c r="N4" s="54"/>
      <c r="O4" s="54"/>
      <c r="P4" s="54"/>
      <c r="Q4" s="54"/>
      <c r="R4" s="54"/>
      <c r="S4" s="54"/>
      <c r="T4" s="54"/>
    </row>
    <row r="5" spans="1:20" s="11" customFormat="1" ht="45">
      <c r="A5" s="43" t="s">
        <v>7</v>
      </c>
      <c r="B5" s="43"/>
      <c r="C5" s="456"/>
      <c r="D5" s="457"/>
      <c r="E5" s="457"/>
      <c r="F5" s="457"/>
      <c r="G5" s="457"/>
      <c r="H5" s="458"/>
      <c r="I5" s="43"/>
      <c r="J5" s="43"/>
      <c r="K5" s="43"/>
      <c r="L5" s="54"/>
      <c r="M5" s="54"/>
      <c r="N5" s="54"/>
      <c r="O5" s="54"/>
      <c r="P5" s="54"/>
      <c r="Q5" s="54"/>
      <c r="R5" s="54"/>
      <c r="S5" s="54"/>
      <c r="T5" s="54"/>
    </row>
    <row r="6" s="24" customFormat="1" ht="18">
      <c r="L6" s="47"/>
    </row>
    <row r="7" spans="2:21" s="24" customFormat="1" ht="18">
      <c r="B7" s="55"/>
      <c r="C7" s="55"/>
      <c r="D7" s="55"/>
      <c r="E7" s="55"/>
      <c r="L7" s="48"/>
      <c r="U7" s="25"/>
    </row>
    <row r="8" spans="1:10" s="11" customFormat="1" ht="24" thickBot="1">
      <c r="A8" s="56" t="s">
        <v>9</v>
      </c>
      <c r="B8" s="57"/>
      <c r="C8" s="58"/>
      <c r="D8" s="59"/>
      <c r="E8" s="59"/>
      <c r="F8" s="26"/>
      <c r="G8" s="27"/>
      <c r="H8" s="27"/>
      <c r="I8" s="28"/>
      <c r="J8" s="26"/>
    </row>
    <row r="9" spans="1:27" s="11" customFormat="1" ht="21.75" customHeight="1" thickBot="1">
      <c r="A9" s="348" t="s">
        <v>57</v>
      </c>
      <c r="B9" s="348"/>
      <c r="C9" s="348"/>
      <c r="D9" s="348"/>
      <c r="E9" s="348"/>
      <c r="F9" s="60"/>
      <c r="G9" s="61"/>
      <c r="H9" s="62"/>
      <c r="I9" s="62"/>
      <c r="J9" s="62"/>
      <c r="K9" s="62"/>
      <c r="L9" s="60"/>
      <c r="M9" s="61"/>
      <c r="N9" s="63"/>
      <c r="O9" s="63"/>
      <c r="P9" s="63"/>
      <c r="Q9" s="369" t="s">
        <v>62</v>
      </c>
      <c r="R9" s="370"/>
      <c r="S9" s="370"/>
      <c r="T9" s="370"/>
      <c r="U9" s="370"/>
      <c r="V9" s="370"/>
      <c r="W9" s="370"/>
      <c r="X9" s="370"/>
      <c r="Y9" s="370"/>
      <c r="Z9" s="370"/>
      <c r="AA9" s="371"/>
    </row>
    <row r="10" spans="1:27" s="11" customFormat="1" ht="24" customHeight="1" thickBot="1">
      <c r="A10" s="64"/>
      <c r="B10" s="65"/>
      <c r="C10" s="384" t="s">
        <v>126</v>
      </c>
      <c r="D10" s="385"/>
      <c r="E10" s="344" t="s">
        <v>59</v>
      </c>
      <c r="F10" s="345"/>
      <c r="G10" s="345"/>
      <c r="H10" s="345"/>
      <c r="I10" s="345"/>
      <c r="J10" s="345"/>
      <c r="K10" s="346"/>
      <c r="L10" s="357" t="s">
        <v>61</v>
      </c>
      <c r="M10" s="358"/>
      <c r="N10" s="358"/>
      <c r="O10" s="358"/>
      <c r="P10" s="359"/>
      <c r="Q10" s="360" t="s">
        <v>102</v>
      </c>
      <c r="R10" s="361"/>
      <c r="S10" s="361"/>
      <c r="T10" s="361"/>
      <c r="U10" s="362"/>
      <c r="V10" s="374" t="s">
        <v>77</v>
      </c>
      <c r="W10" s="375"/>
      <c r="X10" s="342" t="s">
        <v>78</v>
      </c>
      <c r="Y10" s="343"/>
      <c r="Z10" s="342" t="s">
        <v>118</v>
      </c>
      <c r="AA10" s="343"/>
    </row>
    <row r="11" spans="1:27" s="28" customFormat="1" ht="51.75" thickBot="1">
      <c r="A11" s="69" t="s">
        <v>58</v>
      </c>
      <c r="B11" s="70" t="s">
        <v>33</v>
      </c>
      <c r="C11" s="71" t="s">
        <v>122</v>
      </c>
      <c r="D11" s="71" t="s">
        <v>56</v>
      </c>
      <c r="E11" s="71" t="s">
        <v>115</v>
      </c>
      <c r="F11" s="71" t="s">
        <v>200</v>
      </c>
      <c r="G11" s="72" t="s">
        <v>27</v>
      </c>
      <c r="H11" s="73" t="s">
        <v>28</v>
      </c>
      <c r="I11" s="73" t="s">
        <v>29</v>
      </c>
      <c r="J11" s="73" t="s">
        <v>30</v>
      </c>
      <c r="K11" s="74" t="s">
        <v>31</v>
      </c>
      <c r="L11" s="72" t="s">
        <v>73</v>
      </c>
      <c r="M11" s="75" t="s">
        <v>72</v>
      </c>
      <c r="N11" s="76" t="s">
        <v>13</v>
      </c>
      <c r="O11" s="77" t="s">
        <v>69</v>
      </c>
      <c r="P11" s="78" t="s">
        <v>74</v>
      </c>
      <c r="Q11" s="79" t="s">
        <v>27</v>
      </c>
      <c r="R11" s="73" t="s">
        <v>28</v>
      </c>
      <c r="S11" s="73" t="s">
        <v>139</v>
      </c>
      <c r="T11" s="73" t="s">
        <v>193</v>
      </c>
      <c r="U11" s="74" t="s">
        <v>31</v>
      </c>
      <c r="V11" s="79" t="s">
        <v>16</v>
      </c>
      <c r="W11" s="202" t="s">
        <v>15</v>
      </c>
      <c r="X11" s="197" t="s">
        <v>75</v>
      </c>
      <c r="Y11" s="198" t="s">
        <v>76</v>
      </c>
      <c r="Z11" s="204" t="s">
        <v>116</v>
      </c>
      <c r="AA11" s="205" t="s">
        <v>117</v>
      </c>
    </row>
    <row r="12" spans="1:27" s="11" customFormat="1" ht="38.25">
      <c r="A12" s="80" t="s">
        <v>39</v>
      </c>
      <c r="B12" s="30" t="s">
        <v>135</v>
      </c>
      <c r="C12" s="265">
        <v>350</v>
      </c>
      <c r="D12" s="262">
        <f>+C12/($C$31-$C$30)</f>
        <v>0.3431372549019608</v>
      </c>
      <c r="E12" s="266">
        <v>55</v>
      </c>
      <c r="F12" s="232"/>
      <c r="G12" s="159">
        <v>20</v>
      </c>
      <c r="H12" s="160">
        <v>0.03</v>
      </c>
      <c r="I12" s="160">
        <v>0.4</v>
      </c>
      <c r="J12" s="160">
        <v>0.9</v>
      </c>
      <c r="K12" s="161">
        <v>0.17</v>
      </c>
      <c r="L12" s="165">
        <v>6000</v>
      </c>
      <c r="M12" s="166">
        <v>4750</v>
      </c>
      <c r="N12" s="167">
        <v>550</v>
      </c>
      <c r="O12" s="168">
        <v>550</v>
      </c>
      <c r="P12" s="169">
        <v>750</v>
      </c>
      <c r="Q12" s="272">
        <f>$D12*G12</f>
        <v>6.862745098039216</v>
      </c>
      <c r="R12" s="273">
        <f aca="true" t="shared" si="0" ref="R12:R29">$D12*H12</f>
        <v>0.010294117647058823</v>
      </c>
      <c r="S12" s="287">
        <f>IF($O12=0,$I12*$D12,($I12-((2*$O12)/(2*$O12+($L12-1.25*$O12)))*$I12)*$D12)</f>
        <v>0.11371020142949968</v>
      </c>
      <c r="T12" s="288">
        <f>IF($O12=0,$J12*$D12,($J12-((2*$O12)/(2*$O12+($L12-1.25*$O12)))*$J12)*$D12)</f>
        <v>0.25584795321637427</v>
      </c>
      <c r="U12" s="274">
        <f aca="true" t="shared" si="1" ref="U12:U29">$D12*K12</f>
        <v>0.05833333333333334</v>
      </c>
      <c r="V12" s="209">
        <f aca="true" t="shared" si="2" ref="V12:V29">IF(M12=0,0,+((L12-1.25*O12)/M12)*$D12)</f>
        <v>0.38377192982456143</v>
      </c>
      <c r="W12" s="210">
        <f>IF(P12=0,0,+(N12/P12)*$D12)</f>
        <v>0.25163398692810457</v>
      </c>
      <c r="X12" s="201">
        <f>IF(M12=0,0,+M12*$D12)</f>
        <v>1629.9019607843138</v>
      </c>
      <c r="Y12" s="200">
        <f>IF(P12=0,0,+P12*$D12)</f>
        <v>257.3529411764706</v>
      </c>
      <c r="Z12" s="199">
        <f>E12*D12</f>
        <v>18.872549019607842</v>
      </c>
      <c r="AA12" s="81">
        <f>F12*D12</f>
        <v>0</v>
      </c>
    </row>
    <row r="13" spans="1:27" s="11" customFormat="1" ht="12.75">
      <c r="A13" s="82"/>
      <c r="B13" s="31" t="s">
        <v>136</v>
      </c>
      <c r="C13" s="267">
        <v>670</v>
      </c>
      <c r="D13" s="262">
        <f aca="true" t="shared" si="3" ref="D13:D29">+C13/(C$31-C$30)</f>
        <v>0.6568627450980392</v>
      </c>
      <c r="E13" s="266">
        <v>20</v>
      </c>
      <c r="F13" s="232"/>
      <c r="G13" s="162">
        <v>10</v>
      </c>
      <c r="H13" s="163">
        <v>0.01</v>
      </c>
      <c r="I13" s="163">
        <v>0.2</v>
      </c>
      <c r="J13" s="163">
        <v>0.45</v>
      </c>
      <c r="K13" s="164">
        <v>0.15</v>
      </c>
      <c r="L13" s="165">
        <v>5700</v>
      </c>
      <c r="M13" s="166">
        <v>4750</v>
      </c>
      <c r="N13" s="167">
        <v>610</v>
      </c>
      <c r="O13" s="168">
        <v>0</v>
      </c>
      <c r="P13" s="166">
        <v>750</v>
      </c>
      <c r="Q13" s="275">
        <f aca="true" t="shared" si="4" ref="Q13:Q29">$D13*G13</f>
        <v>6.568627450980392</v>
      </c>
      <c r="R13" s="276">
        <f t="shared" si="0"/>
        <v>0.006568627450980392</v>
      </c>
      <c r="S13" s="292">
        <f aca="true" t="shared" si="5" ref="S13:S29">IF($O13=0,$I13*$D13,($I13-((2*$O13)/(2*$O13+($L13-1.25*$O13)))*$I13)*$D13)</f>
        <v>0.13137254901960785</v>
      </c>
      <c r="T13" s="246">
        <f aca="true" t="shared" si="6" ref="T13:T29">IF($O13=0,$J13*$D13,($J13-((2*$O13)/(2*$O13+($L13-1.25*$O13)))*$J13)*$D13)</f>
        <v>0.29558823529411765</v>
      </c>
      <c r="U13" s="277">
        <f t="shared" si="1"/>
        <v>0.09852941176470588</v>
      </c>
      <c r="V13" s="211">
        <f t="shared" si="2"/>
        <v>0.788235294117647</v>
      </c>
      <c r="W13" s="212">
        <f aca="true" t="shared" si="7" ref="W13:W29">IF(P13=0,0,+(N13/P13)*$D13)</f>
        <v>0.5342483660130719</v>
      </c>
      <c r="X13" s="195">
        <f aca="true" t="shared" si="8" ref="X13:X29">IF(M13=0,0,+M13*$D13)</f>
        <v>3120.098039215686</v>
      </c>
      <c r="Y13" s="19">
        <f aca="true" t="shared" si="9" ref="Y13:Y29">IF(P13=0,0,+P13*$D13)</f>
        <v>492.6470588235294</v>
      </c>
      <c r="Z13" s="195">
        <f aca="true" t="shared" si="10" ref="Z13:Z29">E13*D13</f>
        <v>13.137254901960784</v>
      </c>
      <c r="AA13" s="19">
        <f aca="true" t="shared" si="11" ref="AA13:AA28">F13*D13</f>
        <v>0</v>
      </c>
    </row>
    <row r="14" spans="1:27" s="11" customFormat="1" ht="13.5" thickBot="1">
      <c r="A14" s="83"/>
      <c r="B14" s="32"/>
      <c r="C14" s="267"/>
      <c r="D14" s="262">
        <f t="shared" si="3"/>
        <v>0</v>
      </c>
      <c r="E14" s="266"/>
      <c r="F14" s="232"/>
      <c r="G14" s="162"/>
      <c r="H14" s="163"/>
      <c r="I14" s="163"/>
      <c r="J14" s="163"/>
      <c r="K14" s="164"/>
      <c r="L14" s="165"/>
      <c r="M14" s="166"/>
      <c r="N14" s="167"/>
      <c r="O14" s="168"/>
      <c r="P14" s="166"/>
      <c r="Q14" s="275">
        <f t="shared" si="4"/>
        <v>0</v>
      </c>
      <c r="R14" s="276">
        <f t="shared" si="0"/>
        <v>0</v>
      </c>
      <c r="S14" s="292">
        <f t="shared" si="5"/>
        <v>0</v>
      </c>
      <c r="T14" s="246">
        <f t="shared" si="6"/>
        <v>0</v>
      </c>
      <c r="U14" s="277">
        <f t="shared" si="1"/>
        <v>0</v>
      </c>
      <c r="V14" s="211">
        <f t="shared" si="2"/>
        <v>0</v>
      </c>
      <c r="W14" s="212">
        <f t="shared" si="7"/>
        <v>0</v>
      </c>
      <c r="X14" s="195">
        <f t="shared" si="8"/>
        <v>0</v>
      </c>
      <c r="Y14" s="19">
        <f t="shared" si="9"/>
        <v>0</v>
      </c>
      <c r="Z14" s="195">
        <f t="shared" si="10"/>
        <v>0</v>
      </c>
      <c r="AA14" s="19">
        <f t="shared" si="11"/>
        <v>0</v>
      </c>
    </row>
    <row r="15" spans="1:27" s="11" customFormat="1" ht="25.5">
      <c r="A15" s="84" t="s">
        <v>40</v>
      </c>
      <c r="B15" s="33"/>
      <c r="C15" s="267"/>
      <c r="D15" s="262">
        <f t="shared" si="3"/>
        <v>0</v>
      </c>
      <c r="E15" s="266"/>
      <c r="F15" s="232"/>
      <c r="G15" s="162"/>
      <c r="H15" s="163"/>
      <c r="I15" s="163"/>
      <c r="J15" s="163"/>
      <c r="K15" s="164"/>
      <c r="L15" s="165"/>
      <c r="M15" s="166"/>
      <c r="N15" s="167"/>
      <c r="O15" s="168"/>
      <c r="P15" s="166"/>
      <c r="Q15" s="275">
        <f t="shared" si="4"/>
        <v>0</v>
      </c>
      <c r="R15" s="276">
        <f t="shared" si="0"/>
        <v>0</v>
      </c>
      <c r="S15" s="293">
        <f t="shared" si="5"/>
        <v>0</v>
      </c>
      <c r="T15" s="195">
        <f t="shared" si="6"/>
        <v>0</v>
      </c>
      <c r="U15" s="277">
        <f t="shared" si="1"/>
        <v>0</v>
      </c>
      <c r="V15" s="211">
        <f t="shared" si="2"/>
        <v>0</v>
      </c>
      <c r="W15" s="212">
        <f t="shared" si="7"/>
        <v>0</v>
      </c>
      <c r="X15" s="195">
        <f t="shared" si="8"/>
        <v>0</v>
      </c>
      <c r="Y15" s="19">
        <f t="shared" si="9"/>
        <v>0</v>
      </c>
      <c r="Z15" s="195">
        <f t="shared" si="10"/>
        <v>0</v>
      </c>
      <c r="AA15" s="19">
        <f t="shared" si="11"/>
        <v>0</v>
      </c>
    </row>
    <row r="16" spans="1:27" s="11" customFormat="1" ht="12.75">
      <c r="A16" s="85"/>
      <c r="B16" s="34"/>
      <c r="C16" s="267"/>
      <c r="D16" s="262">
        <f t="shared" si="3"/>
        <v>0</v>
      </c>
      <c r="E16" s="266"/>
      <c r="F16" s="232"/>
      <c r="G16" s="162"/>
      <c r="H16" s="163"/>
      <c r="I16" s="163"/>
      <c r="J16" s="163"/>
      <c r="K16" s="164"/>
      <c r="L16" s="165"/>
      <c r="M16" s="166"/>
      <c r="N16" s="167"/>
      <c r="O16" s="168"/>
      <c r="P16" s="166"/>
      <c r="Q16" s="275">
        <f t="shared" si="4"/>
        <v>0</v>
      </c>
      <c r="R16" s="276">
        <f t="shared" si="0"/>
        <v>0</v>
      </c>
      <c r="S16" s="289">
        <f t="shared" si="5"/>
        <v>0</v>
      </c>
      <c r="T16" s="290">
        <f t="shared" si="6"/>
        <v>0</v>
      </c>
      <c r="U16" s="277">
        <f t="shared" si="1"/>
        <v>0</v>
      </c>
      <c r="V16" s="211">
        <f t="shared" si="2"/>
        <v>0</v>
      </c>
      <c r="W16" s="212">
        <f t="shared" si="7"/>
        <v>0</v>
      </c>
      <c r="X16" s="195">
        <f t="shared" si="8"/>
        <v>0</v>
      </c>
      <c r="Y16" s="19">
        <f t="shared" si="9"/>
        <v>0</v>
      </c>
      <c r="Z16" s="195">
        <f t="shared" si="10"/>
        <v>0</v>
      </c>
      <c r="AA16" s="19">
        <f t="shared" si="11"/>
        <v>0</v>
      </c>
    </row>
    <row r="17" spans="1:27" s="11" customFormat="1" ht="13.5" thickBot="1">
      <c r="A17" s="86"/>
      <c r="B17" s="35"/>
      <c r="C17" s="267"/>
      <c r="D17" s="262">
        <f t="shared" si="3"/>
        <v>0</v>
      </c>
      <c r="E17" s="266"/>
      <c r="F17" s="232"/>
      <c r="G17" s="162"/>
      <c r="H17" s="163"/>
      <c r="I17" s="163"/>
      <c r="J17" s="163"/>
      <c r="K17" s="164"/>
      <c r="L17" s="165"/>
      <c r="M17" s="166"/>
      <c r="N17" s="167"/>
      <c r="O17" s="168"/>
      <c r="P17" s="166"/>
      <c r="Q17" s="275">
        <f t="shared" si="4"/>
        <v>0</v>
      </c>
      <c r="R17" s="276">
        <f t="shared" si="0"/>
        <v>0</v>
      </c>
      <c r="S17" s="293">
        <f t="shared" si="5"/>
        <v>0</v>
      </c>
      <c r="T17" s="195">
        <f t="shared" si="6"/>
        <v>0</v>
      </c>
      <c r="U17" s="277">
        <f t="shared" si="1"/>
        <v>0</v>
      </c>
      <c r="V17" s="211">
        <f t="shared" si="2"/>
        <v>0</v>
      </c>
      <c r="W17" s="212">
        <f t="shared" si="7"/>
        <v>0</v>
      </c>
      <c r="X17" s="195">
        <f t="shared" si="8"/>
        <v>0</v>
      </c>
      <c r="Y17" s="19">
        <f t="shared" si="9"/>
        <v>0</v>
      </c>
      <c r="Z17" s="195">
        <f t="shared" si="10"/>
        <v>0</v>
      </c>
      <c r="AA17" s="19">
        <f t="shared" si="11"/>
        <v>0</v>
      </c>
    </row>
    <row r="18" spans="1:27" s="11" customFormat="1" ht="12.75">
      <c r="A18" s="87" t="s">
        <v>41</v>
      </c>
      <c r="B18" s="33"/>
      <c r="C18" s="267"/>
      <c r="D18" s="262">
        <f t="shared" si="3"/>
        <v>0</v>
      </c>
      <c r="E18" s="266"/>
      <c r="F18" s="232"/>
      <c r="G18" s="162"/>
      <c r="H18" s="163"/>
      <c r="I18" s="163"/>
      <c r="J18" s="163"/>
      <c r="K18" s="164"/>
      <c r="L18" s="165"/>
      <c r="M18" s="166"/>
      <c r="N18" s="167"/>
      <c r="O18" s="168"/>
      <c r="P18" s="166"/>
      <c r="Q18" s="275">
        <f t="shared" si="4"/>
        <v>0</v>
      </c>
      <c r="R18" s="276">
        <f t="shared" si="0"/>
        <v>0</v>
      </c>
      <c r="S18" s="289">
        <f t="shared" si="5"/>
        <v>0</v>
      </c>
      <c r="T18" s="290">
        <f t="shared" si="6"/>
        <v>0</v>
      </c>
      <c r="U18" s="277">
        <f t="shared" si="1"/>
        <v>0</v>
      </c>
      <c r="V18" s="211">
        <f t="shared" si="2"/>
        <v>0</v>
      </c>
      <c r="W18" s="212">
        <f t="shared" si="7"/>
        <v>0</v>
      </c>
      <c r="X18" s="195">
        <f t="shared" si="8"/>
        <v>0</v>
      </c>
      <c r="Y18" s="19">
        <f t="shared" si="9"/>
        <v>0</v>
      </c>
      <c r="Z18" s="195">
        <f t="shared" si="10"/>
        <v>0</v>
      </c>
      <c r="AA18" s="19">
        <f t="shared" si="11"/>
        <v>0</v>
      </c>
    </row>
    <row r="19" spans="1:27" s="11" customFormat="1" ht="12.75">
      <c r="A19" s="85"/>
      <c r="B19" s="34"/>
      <c r="C19" s="267"/>
      <c r="D19" s="262">
        <f t="shared" si="3"/>
        <v>0</v>
      </c>
      <c r="E19" s="266"/>
      <c r="F19" s="232"/>
      <c r="G19" s="162"/>
      <c r="H19" s="163"/>
      <c r="I19" s="163"/>
      <c r="J19" s="163"/>
      <c r="K19" s="164"/>
      <c r="L19" s="165"/>
      <c r="M19" s="166"/>
      <c r="N19" s="167"/>
      <c r="O19" s="168"/>
      <c r="P19" s="166"/>
      <c r="Q19" s="275">
        <f t="shared" si="4"/>
        <v>0</v>
      </c>
      <c r="R19" s="276">
        <f t="shared" si="0"/>
        <v>0</v>
      </c>
      <c r="S19" s="292">
        <f t="shared" si="5"/>
        <v>0</v>
      </c>
      <c r="T19" s="246">
        <f t="shared" si="6"/>
        <v>0</v>
      </c>
      <c r="U19" s="277">
        <f t="shared" si="1"/>
        <v>0</v>
      </c>
      <c r="V19" s="211">
        <f t="shared" si="2"/>
        <v>0</v>
      </c>
      <c r="W19" s="212">
        <f t="shared" si="7"/>
        <v>0</v>
      </c>
      <c r="X19" s="195">
        <f t="shared" si="8"/>
        <v>0</v>
      </c>
      <c r="Y19" s="19">
        <f t="shared" si="9"/>
        <v>0</v>
      </c>
      <c r="Z19" s="195">
        <f t="shared" si="10"/>
        <v>0</v>
      </c>
      <c r="AA19" s="19">
        <f t="shared" si="11"/>
        <v>0</v>
      </c>
    </row>
    <row r="20" spans="1:27" s="11" customFormat="1" ht="13.5" thickBot="1">
      <c r="A20" s="86"/>
      <c r="B20" s="35"/>
      <c r="C20" s="267"/>
      <c r="D20" s="262">
        <f t="shared" si="3"/>
        <v>0</v>
      </c>
      <c r="E20" s="266"/>
      <c r="F20" s="232"/>
      <c r="G20" s="162"/>
      <c r="H20" s="163"/>
      <c r="I20" s="163"/>
      <c r="J20" s="163"/>
      <c r="K20" s="164"/>
      <c r="L20" s="165"/>
      <c r="M20" s="166"/>
      <c r="N20" s="167"/>
      <c r="O20" s="168"/>
      <c r="P20" s="166"/>
      <c r="Q20" s="275">
        <f t="shared" si="4"/>
        <v>0</v>
      </c>
      <c r="R20" s="276">
        <f t="shared" si="0"/>
        <v>0</v>
      </c>
      <c r="S20" s="293">
        <f t="shared" si="5"/>
        <v>0</v>
      </c>
      <c r="T20" s="195">
        <f t="shared" si="6"/>
        <v>0</v>
      </c>
      <c r="U20" s="277">
        <f t="shared" si="1"/>
        <v>0</v>
      </c>
      <c r="V20" s="211">
        <f t="shared" si="2"/>
        <v>0</v>
      </c>
      <c r="W20" s="212">
        <f t="shared" si="7"/>
        <v>0</v>
      </c>
      <c r="X20" s="195">
        <f t="shared" si="8"/>
        <v>0</v>
      </c>
      <c r="Y20" s="19">
        <f t="shared" si="9"/>
        <v>0</v>
      </c>
      <c r="Z20" s="195">
        <f t="shared" si="10"/>
        <v>0</v>
      </c>
      <c r="AA20" s="19">
        <f t="shared" si="11"/>
        <v>0</v>
      </c>
    </row>
    <row r="21" spans="1:27" s="11" customFormat="1" ht="12.75">
      <c r="A21" s="88" t="s">
        <v>42</v>
      </c>
      <c r="B21" s="36"/>
      <c r="C21" s="268"/>
      <c r="D21" s="262">
        <f t="shared" si="3"/>
        <v>0</v>
      </c>
      <c r="E21" s="266"/>
      <c r="F21" s="232"/>
      <c r="G21" s="162"/>
      <c r="H21" s="163"/>
      <c r="I21" s="163"/>
      <c r="J21" s="163"/>
      <c r="K21" s="164"/>
      <c r="L21" s="165"/>
      <c r="M21" s="166"/>
      <c r="N21" s="167"/>
      <c r="O21" s="168"/>
      <c r="P21" s="166"/>
      <c r="Q21" s="275">
        <f t="shared" si="4"/>
        <v>0</v>
      </c>
      <c r="R21" s="276">
        <f t="shared" si="0"/>
        <v>0</v>
      </c>
      <c r="S21" s="289">
        <f t="shared" si="5"/>
        <v>0</v>
      </c>
      <c r="T21" s="290">
        <f t="shared" si="6"/>
        <v>0</v>
      </c>
      <c r="U21" s="277">
        <f t="shared" si="1"/>
        <v>0</v>
      </c>
      <c r="V21" s="211">
        <f t="shared" si="2"/>
        <v>0</v>
      </c>
      <c r="W21" s="212">
        <f t="shared" si="7"/>
        <v>0</v>
      </c>
      <c r="X21" s="195">
        <f t="shared" si="8"/>
        <v>0</v>
      </c>
      <c r="Y21" s="19">
        <f t="shared" si="9"/>
        <v>0</v>
      </c>
      <c r="Z21" s="195">
        <f t="shared" si="10"/>
        <v>0</v>
      </c>
      <c r="AA21" s="19">
        <f t="shared" si="11"/>
        <v>0</v>
      </c>
    </row>
    <row r="22" spans="1:27" s="11" customFormat="1" ht="13.5" thickBot="1">
      <c r="A22" s="89"/>
      <c r="B22" s="37"/>
      <c r="C22" s="268"/>
      <c r="D22" s="262">
        <f t="shared" si="3"/>
        <v>0</v>
      </c>
      <c r="E22" s="266"/>
      <c r="F22" s="232"/>
      <c r="G22" s="162"/>
      <c r="H22" s="163"/>
      <c r="I22" s="163"/>
      <c r="J22" s="163"/>
      <c r="K22" s="164"/>
      <c r="L22" s="165"/>
      <c r="M22" s="166"/>
      <c r="N22" s="167"/>
      <c r="O22" s="168"/>
      <c r="P22" s="166"/>
      <c r="Q22" s="275">
        <f t="shared" si="4"/>
        <v>0</v>
      </c>
      <c r="R22" s="276">
        <f t="shared" si="0"/>
        <v>0</v>
      </c>
      <c r="S22" s="293">
        <f t="shared" si="5"/>
        <v>0</v>
      </c>
      <c r="T22" s="195">
        <f t="shared" si="6"/>
        <v>0</v>
      </c>
      <c r="U22" s="277">
        <f t="shared" si="1"/>
        <v>0</v>
      </c>
      <c r="V22" s="211">
        <f t="shared" si="2"/>
        <v>0</v>
      </c>
      <c r="W22" s="212">
        <f t="shared" si="7"/>
        <v>0</v>
      </c>
      <c r="X22" s="195">
        <f t="shared" si="8"/>
        <v>0</v>
      </c>
      <c r="Y22" s="19">
        <f t="shared" si="9"/>
        <v>0</v>
      </c>
      <c r="Z22" s="195">
        <f t="shared" si="10"/>
        <v>0</v>
      </c>
      <c r="AA22" s="19">
        <f t="shared" si="11"/>
        <v>0</v>
      </c>
    </row>
    <row r="23" spans="1:27" s="11" customFormat="1" ht="12.75">
      <c r="A23" s="88" t="s">
        <v>183</v>
      </c>
      <c r="B23" s="38"/>
      <c r="C23" s="268"/>
      <c r="D23" s="262">
        <f t="shared" si="3"/>
        <v>0</v>
      </c>
      <c r="E23" s="266"/>
      <c r="F23" s="232"/>
      <c r="G23" s="162"/>
      <c r="H23" s="163"/>
      <c r="I23" s="163"/>
      <c r="J23" s="163"/>
      <c r="K23" s="164"/>
      <c r="L23" s="165"/>
      <c r="M23" s="166"/>
      <c r="N23" s="167"/>
      <c r="O23" s="168"/>
      <c r="P23" s="166"/>
      <c r="Q23" s="275">
        <f t="shared" si="4"/>
        <v>0</v>
      </c>
      <c r="R23" s="276">
        <f t="shared" si="0"/>
        <v>0</v>
      </c>
      <c r="S23" s="289">
        <f t="shared" si="5"/>
        <v>0</v>
      </c>
      <c r="T23" s="290">
        <f t="shared" si="6"/>
        <v>0</v>
      </c>
      <c r="U23" s="277">
        <f t="shared" si="1"/>
        <v>0</v>
      </c>
      <c r="V23" s="211">
        <f t="shared" si="2"/>
        <v>0</v>
      </c>
      <c r="W23" s="212">
        <f t="shared" si="7"/>
        <v>0</v>
      </c>
      <c r="X23" s="195">
        <f t="shared" si="8"/>
        <v>0</v>
      </c>
      <c r="Y23" s="19">
        <f t="shared" si="9"/>
        <v>0</v>
      </c>
      <c r="Z23" s="195">
        <f t="shared" si="10"/>
        <v>0</v>
      </c>
      <c r="AA23" s="19">
        <f t="shared" si="11"/>
        <v>0</v>
      </c>
    </row>
    <row r="24" spans="1:27" s="11" customFormat="1" ht="13.5" thickBot="1">
      <c r="A24" s="90"/>
      <c r="B24" s="39"/>
      <c r="C24" s="268"/>
      <c r="D24" s="262">
        <f t="shared" si="3"/>
        <v>0</v>
      </c>
      <c r="E24" s="266"/>
      <c r="F24" s="232"/>
      <c r="G24" s="162"/>
      <c r="H24" s="163"/>
      <c r="I24" s="163"/>
      <c r="J24" s="163"/>
      <c r="K24" s="164"/>
      <c r="L24" s="165"/>
      <c r="M24" s="166"/>
      <c r="N24" s="167"/>
      <c r="O24" s="168"/>
      <c r="P24" s="166"/>
      <c r="Q24" s="275">
        <f t="shared" si="4"/>
        <v>0</v>
      </c>
      <c r="R24" s="276">
        <f t="shared" si="0"/>
        <v>0</v>
      </c>
      <c r="S24" s="293">
        <f t="shared" si="5"/>
        <v>0</v>
      </c>
      <c r="T24" s="195">
        <f t="shared" si="6"/>
        <v>0</v>
      </c>
      <c r="U24" s="277">
        <f t="shared" si="1"/>
        <v>0</v>
      </c>
      <c r="V24" s="211">
        <f t="shared" si="2"/>
        <v>0</v>
      </c>
      <c r="W24" s="212">
        <f t="shared" si="7"/>
        <v>0</v>
      </c>
      <c r="X24" s="195">
        <f t="shared" si="8"/>
        <v>0</v>
      </c>
      <c r="Y24" s="19">
        <f t="shared" si="9"/>
        <v>0</v>
      </c>
      <c r="Z24" s="195">
        <f t="shared" si="10"/>
        <v>0</v>
      </c>
      <c r="AA24" s="19">
        <f t="shared" si="11"/>
        <v>0</v>
      </c>
    </row>
    <row r="25" spans="1:27" s="11" customFormat="1" ht="12.75">
      <c r="A25" s="88" t="s">
        <v>183</v>
      </c>
      <c r="B25" s="36"/>
      <c r="C25" s="268"/>
      <c r="D25" s="262">
        <f t="shared" si="3"/>
        <v>0</v>
      </c>
      <c r="E25" s="266"/>
      <c r="F25" s="232"/>
      <c r="G25" s="162"/>
      <c r="H25" s="163"/>
      <c r="I25" s="163"/>
      <c r="J25" s="163"/>
      <c r="K25" s="164"/>
      <c r="L25" s="165"/>
      <c r="M25" s="166"/>
      <c r="N25" s="167"/>
      <c r="O25" s="168"/>
      <c r="P25" s="166"/>
      <c r="Q25" s="275">
        <f t="shared" si="4"/>
        <v>0</v>
      </c>
      <c r="R25" s="276">
        <f t="shared" si="0"/>
        <v>0</v>
      </c>
      <c r="S25" s="289">
        <f t="shared" si="5"/>
        <v>0</v>
      </c>
      <c r="T25" s="290">
        <f t="shared" si="6"/>
        <v>0</v>
      </c>
      <c r="U25" s="277">
        <f t="shared" si="1"/>
        <v>0</v>
      </c>
      <c r="V25" s="211">
        <f t="shared" si="2"/>
        <v>0</v>
      </c>
      <c r="W25" s="212">
        <f t="shared" si="7"/>
        <v>0</v>
      </c>
      <c r="X25" s="195">
        <f t="shared" si="8"/>
        <v>0</v>
      </c>
      <c r="Y25" s="19">
        <f t="shared" si="9"/>
        <v>0</v>
      </c>
      <c r="Z25" s="195">
        <f t="shared" si="10"/>
        <v>0</v>
      </c>
      <c r="AA25" s="19">
        <f t="shared" si="11"/>
        <v>0</v>
      </c>
    </row>
    <row r="26" spans="1:27" s="11" customFormat="1" ht="13.5" thickBot="1">
      <c r="A26" s="89"/>
      <c r="B26" s="37"/>
      <c r="C26" s="268"/>
      <c r="D26" s="262">
        <f t="shared" si="3"/>
        <v>0</v>
      </c>
      <c r="E26" s="266"/>
      <c r="F26" s="232"/>
      <c r="G26" s="162"/>
      <c r="H26" s="163"/>
      <c r="I26" s="163"/>
      <c r="J26" s="163"/>
      <c r="K26" s="164"/>
      <c r="L26" s="165"/>
      <c r="M26" s="166"/>
      <c r="N26" s="167"/>
      <c r="O26" s="168"/>
      <c r="P26" s="166"/>
      <c r="Q26" s="275">
        <f t="shared" si="4"/>
        <v>0</v>
      </c>
      <c r="R26" s="276">
        <f t="shared" si="0"/>
        <v>0</v>
      </c>
      <c r="S26" s="293">
        <f t="shared" si="5"/>
        <v>0</v>
      </c>
      <c r="T26" s="195">
        <f t="shared" si="6"/>
        <v>0</v>
      </c>
      <c r="U26" s="277">
        <f t="shared" si="1"/>
        <v>0</v>
      </c>
      <c r="V26" s="211">
        <f t="shared" si="2"/>
        <v>0</v>
      </c>
      <c r="W26" s="212">
        <f t="shared" si="7"/>
        <v>0</v>
      </c>
      <c r="X26" s="195">
        <f t="shared" si="8"/>
        <v>0</v>
      </c>
      <c r="Y26" s="19">
        <f t="shared" si="9"/>
        <v>0</v>
      </c>
      <c r="Z26" s="195">
        <f t="shared" si="10"/>
        <v>0</v>
      </c>
      <c r="AA26" s="19">
        <f t="shared" si="11"/>
        <v>0</v>
      </c>
    </row>
    <row r="27" spans="1:27" s="11" customFormat="1" ht="12.75">
      <c r="A27" s="87" t="s">
        <v>34</v>
      </c>
      <c r="B27" s="33"/>
      <c r="C27" s="267"/>
      <c r="D27" s="262">
        <f t="shared" si="3"/>
        <v>0</v>
      </c>
      <c r="E27" s="266"/>
      <c r="F27" s="232"/>
      <c r="G27" s="162"/>
      <c r="H27" s="163"/>
      <c r="I27" s="163"/>
      <c r="J27" s="163"/>
      <c r="K27" s="164"/>
      <c r="L27" s="165"/>
      <c r="M27" s="166"/>
      <c r="N27" s="167"/>
      <c r="O27" s="168"/>
      <c r="P27" s="166"/>
      <c r="Q27" s="275">
        <f t="shared" si="4"/>
        <v>0</v>
      </c>
      <c r="R27" s="276">
        <f t="shared" si="0"/>
        <v>0</v>
      </c>
      <c r="S27" s="291">
        <f t="shared" si="5"/>
        <v>0</v>
      </c>
      <c r="T27" s="199">
        <f t="shared" si="6"/>
        <v>0</v>
      </c>
      <c r="U27" s="277">
        <f t="shared" si="1"/>
        <v>0</v>
      </c>
      <c r="V27" s="211">
        <f t="shared" si="2"/>
        <v>0</v>
      </c>
      <c r="W27" s="212">
        <f t="shared" si="7"/>
        <v>0</v>
      </c>
      <c r="X27" s="195">
        <f t="shared" si="8"/>
        <v>0</v>
      </c>
      <c r="Y27" s="19">
        <f t="shared" si="9"/>
        <v>0</v>
      </c>
      <c r="Z27" s="195">
        <f t="shared" si="10"/>
        <v>0</v>
      </c>
      <c r="AA27" s="19">
        <f t="shared" si="11"/>
        <v>0</v>
      </c>
    </row>
    <row r="28" spans="1:27" s="11" customFormat="1" ht="13.5" thickBot="1">
      <c r="A28" s="86"/>
      <c r="B28" s="35"/>
      <c r="C28" s="269"/>
      <c r="D28" s="262">
        <f t="shared" si="3"/>
        <v>0</v>
      </c>
      <c r="E28" s="266"/>
      <c r="F28" s="232"/>
      <c r="G28" s="162"/>
      <c r="H28" s="163"/>
      <c r="I28" s="163"/>
      <c r="J28" s="163"/>
      <c r="K28" s="164"/>
      <c r="L28" s="165"/>
      <c r="M28" s="166"/>
      <c r="N28" s="167"/>
      <c r="O28" s="168"/>
      <c r="P28" s="166"/>
      <c r="Q28" s="275">
        <f t="shared" si="4"/>
        <v>0</v>
      </c>
      <c r="R28" s="276">
        <f t="shared" si="0"/>
        <v>0</v>
      </c>
      <c r="S28" s="291">
        <f t="shared" si="5"/>
        <v>0</v>
      </c>
      <c r="T28" s="199">
        <f t="shared" si="6"/>
        <v>0</v>
      </c>
      <c r="U28" s="277">
        <f t="shared" si="1"/>
        <v>0</v>
      </c>
      <c r="V28" s="211">
        <f t="shared" si="2"/>
        <v>0</v>
      </c>
      <c r="W28" s="212">
        <f t="shared" si="7"/>
        <v>0</v>
      </c>
      <c r="X28" s="195">
        <f t="shared" si="8"/>
        <v>0</v>
      </c>
      <c r="Y28" s="19">
        <f t="shared" si="9"/>
        <v>0</v>
      </c>
      <c r="Z28" s="195">
        <f t="shared" si="10"/>
        <v>0</v>
      </c>
      <c r="AA28" s="19">
        <f t="shared" si="11"/>
        <v>0</v>
      </c>
    </row>
    <row r="29" spans="1:27" s="11" customFormat="1" ht="13.5" thickBot="1">
      <c r="A29" s="91" t="s">
        <v>43</v>
      </c>
      <c r="B29" s="40"/>
      <c r="C29" s="269"/>
      <c r="D29" s="264">
        <f t="shared" si="3"/>
        <v>0</v>
      </c>
      <c r="E29" s="270"/>
      <c r="F29" s="233"/>
      <c r="G29" s="170"/>
      <c r="H29" s="171"/>
      <c r="I29" s="171"/>
      <c r="J29" s="171"/>
      <c r="K29" s="172"/>
      <c r="L29" s="173"/>
      <c r="M29" s="174"/>
      <c r="N29" s="175"/>
      <c r="O29" s="176"/>
      <c r="P29" s="174"/>
      <c r="Q29" s="278">
        <f t="shared" si="4"/>
        <v>0</v>
      </c>
      <c r="R29" s="279">
        <f t="shared" si="0"/>
        <v>0</v>
      </c>
      <c r="S29" s="42">
        <f t="shared" si="5"/>
        <v>0</v>
      </c>
      <c r="T29" s="286">
        <f t="shared" si="6"/>
        <v>0</v>
      </c>
      <c r="U29" s="280">
        <f t="shared" si="1"/>
        <v>0</v>
      </c>
      <c r="V29" s="213">
        <f t="shared" si="2"/>
        <v>0</v>
      </c>
      <c r="W29" s="214">
        <f t="shared" si="7"/>
        <v>0</v>
      </c>
      <c r="X29" s="196">
        <f t="shared" si="8"/>
        <v>0</v>
      </c>
      <c r="Y29" s="20">
        <f t="shared" si="9"/>
        <v>0</v>
      </c>
      <c r="Z29" s="246">
        <f t="shared" si="10"/>
        <v>0</v>
      </c>
      <c r="AA29" s="247">
        <f>F29*D29</f>
        <v>0</v>
      </c>
    </row>
    <row r="30" spans="1:27" s="11" customFormat="1" ht="13.5" thickBot="1">
      <c r="A30" s="92" t="s">
        <v>124</v>
      </c>
      <c r="B30" s="40"/>
      <c r="C30" s="231">
        <v>0</v>
      </c>
      <c r="D30" s="93"/>
      <c r="E30" s="93"/>
      <c r="F30" s="93"/>
      <c r="G30" s="93"/>
      <c r="H30" s="10"/>
      <c r="O30" s="94" t="s">
        <v>52</v>
      </c>
      <c r="P30" s="95"/>
      <c r="Q30" s="96">
        <f>SUM(Q12:Q29)</f>
        <v>13.431372549019608</v>
      </c>
      <c r="R30" s="97">
        <f>SUM(R12:R29)</f>
        <v>0.016862745098039214</v>
      </c>
      <c r="S30" s="97">
        <f>SUM(S12:S29)</f>
        <v>0.24508275044910754</v>
      </c>
      <c r="T30" s="98">
        <f>SUM(T12:T29)</f>
        <v>0.5514361885104919</v>
      </c>
      <c r="U30" s="98">
        <f>SUM(U12:U29)</f>
        <v>0.1568627450980392</v>
      </c>
      <c r="V30" s="97">
        <f>+SUM(V12:V29)</f>
        <v>1.1720072239422086</v>
      </c>
      <c r="W30" s="97">
        <f>SUM(W12:W29)</f>
        <v>0.7858823529411765</v>
      </c>
      <c r="X30" s="96">
        <f>SUM(X12:X29)</f>
        <v>4750</v>
      </c>
      <c r="Y30" s="203">
        <f>SUM(Y12:Y29)</f>
        <v>750</v>
      </c>
      <c r="Z30" s="263">
        <f>SUM(Z12:Z29)</f>
        <v>32.009803921568626</v>
      </c>
      <c r="AA30" s="99">
        <f>SUM(AA12:AA29)</f>
        <v>0</v>
      </c>
    </row>
    <row r="31" spans="1:27" s="11" customFormat="1" ht="15" thickBot="1">
      <c r="A31" s="41" t="s">
        <v>23</v>
      </c>
      <c r="B31" s="100"/>
      <c r="C31" s="271">
        <f>SUM(C12:C30)</f>
        <v>1020</v>
      </c>
      <c r="D31" s="93" t="s">
        <v>123</v>
      </c>
      <c r="E31" s="93"/>
      <c r="F31" s="9"/>
      <c r="G31" s="9"/>
      <c r="H31" s="102"/>
      <c r="I31" s="102"/>
      <c r="J31" s="102"/>
      <c r="K31" s="102"/>
      <c r="L31" s="1"/>
      <c r="S31" s="11" t="s">
        <v>145</v>
      </c>
      <c r="Z31" s="248"/>
      <c r="AA31" s="248"/>
    </row>
    <row r="32" spans="1:5" ht="13.5" thickBot="1">
      <c r="A32" s="2"/>
      <c r="B32" s="2"/>
      <c r="C32" s="2"/>
      <c r="D32" s="2"/>
      <c r="E32" s="2"/>
    </row>
    <row r="33" spans="1:6" ht="24" thickBot="1">
      <c r="A33" s="103" t="s">
        <v>10</v>
      </c>
      <c r="B33" s="2"/>
      <c r="C33" s="2"/>
      <c r="D33" s="2"/>
      <c r="E33" s="2"/>
      <c r="F33" s="2"/>
    </row>
    <row r="34" spans="1:12" ht="31.5" customHeight="1" thickBot="1">
      <c r="A34" s="347" t="s">
        <v>83</v>
      </c>
      <c r="B34" s="348"/>
      <c r="C34" s="348"/>
      <c r="D34" s="348"/>
      <c r="E34" s="348"/>
      <c r="F34" s="348"/>
      <c r="G34" s="348"/>
      <c r="H34" s="348"/>
      <c r="I34" s="348"/>
      <c r="J34" s="349"/>
      <c r="K34" s="294"/>
      <c r="L34" s="217"/>
    </row>
    <row r="35" spans="1:12" ht="39" thickBot="1">
      <c r="A35" s="454" t="s">
        <v>50</v>
      </c>
      <c r="B35" s="79" t="s">
        <v>27</v>
      </c>
      <c r="C35" s="105" t="s">
        <v>28</v>
      </c>
      <c r="D35" s="105" t="s">
        <v>29</v>
      </c>
      <c r="E35" s="105" t="s">
        <v>30</v>
      </c>
      <c r="F35" s="106" t="s">
        <v>12</v>
      </c>
      <c r="G35" s="106" t="s">
        <v>70</v>
      </c>
      <c r="H35" s="107" t="s">
        <v>13</v>
      </c>
      <c r="I35" s="107" t="s">
        <v>68</v>
      </c>
      <c r="J35" s="108" t="s">
        <v>71</v>
      </c>
      <c r="K35" s="73" t="s">
        <v>139</v>
      </c>
      <c r="L35" s="202" t="s">
        <v>193</v>
      </c>
    </row>
    <row r="36" spans="1:12" ht="12.75">
      <c r="A36" s="455" t="s">
        <v>101</v>
      </c>
      <c r="B36" s="178">
        <v>2.1</v>
      </c>
      <c r="C36" s="444">
        <v>0.003</v>
      </c>
      <c r="D36" s="179">
        <v>0.3</v>
      </c>
      <c r="E36" s="180">
        <v>0.65</v>
      </c>
      <c r="F36" s="445">
        <v>1930</v>
      </c>
      <c r="G36" s="446">
        <v>1800</v>
      </c>
      <c r="H36" s="447">
        <v>1400</v>
      </c>
      <c r="I36" s="447"/>
      <c r="J36" s="448">
        <v>1030</v>
      </c>
      <c r="K36" s="285">
        <f>IF(I36=0,D36,D36-((2*$I36)/(2*$I36+($F36-1.25*$I36)))*D36)</f>
        <v>0.3</v>
      </c>
      <c r="L36" s="295">
        <f>IF(I36=0,E36,E36-((2*$I36)/(2*$I36+($F36-1.25*$I36)))*E36)</f>
        <v>0.65</v>
      </c>
    </row>
    <row r="37" spans="1:12" ht="13.5" thickBot="1">
      <c r="A37" s="453"/>
      <c r="B37" s="181"/>
      <c r="C37" s="304"/>
      <c r="D37" s="182"/>
      <c r="E37" s="183"/>
      <c r="F37" s="170"/>
      <c r="G37" s="305"/>
      <c r="H37" s="171"/>
      <c r="I37" s="171"/>
      <c r="J37" s="302"/>
      <c r="K37" s="449">
        <f>IF(I37=0,D37,D37-((2*$I37)/(2*$I37+($F37-1.25*$I37)))*D37)</f>
        <v>0</v>
      </c>
      <c r="L37" s="450">
        <f>IF(I37=0,E37,E37-((2*$I37)/(2*$I37+($F37-1.25*$I37)))*E37)</f>
        <v>0</v>
      </c>
    </row>
    <row r="38" spans="1:12" ht="13.5" thickBot="1">
      <c r="A38" s="109" t="s">
        <v>51</v>
      </c>
      <c r="B38" s="110">
        <f>SUM(B36:B37)</f>
        <v>2.1</v>
      </c>
      <c r="C38" s="306">
        <f>SUM(C36:C37)</f>
        <v>0.003</v>
      </c>
      <c r="D38" s="111">
        <f>SUM(D36:D37)</f>
        <v>0.3</v>
      </c>
      <c r="E38" s="112">
        <f>SUM(E36:E37)</f>
        <v>0.65</v>
      </c>
      <c r="F38" s="249">
        <f>SUM(F36:F37)</f>
        <v>1930</v>
      </c>
      <c r="G38" s="250">
        <f>SUM(G36:G37)</f>
        <v>1800</v>
      </c>
      <c r="H38" s="250">
        <f>SUM(H36:H37)</f>
        <v>1400</v>
      </c>
      <c r="I38" s="250">
        <f>SUM(I36:I37)</f>
        <v>0</v>
      </c>
      <c r="J38" s="251">
        <f>SUM(J36:J37)</f>
        <v>1030</v>
      </c>
      <c r="K38" s="99">
        <f>SUM(K36:K37)</f>
        <v>0.3</v>
      </c>
      <c r="L38" s="99">
        <f>SUM(L36:L37)</f>
        <v>0.65</v>
      </c>
    </row>
    <row r="39" spans="1:8" ht="15" thickBot="1">
      <c r="A39" s="2"/>
      <c r="B39" s="2"/>
      <c r="C39" s="2"/>
      <c r="D39" s="2"/>
      <c r="E39" s="2"/>
      <c r="H39" s="11" t="s">
        <v>145</v>
      </c>
    </row>
    <row r="40" spans="1:5" ht="24" thickBot="1">
      <c r="A40" s="103" t="s">
        <v>11</v>
      </c>
      <c r="B40" s="2"/>
      <c r="C40" s="2"/>
      <c r="D40" s="2"/>
      <c r="E40" s="2"/>
    </row>
    <row r="41" spans="1:7" ht="24" thickBot="1">
      <c r="A41" s="104" t="s">
        <v>87</v>
      </c>
      <c r="B41" s="113"/>
      <c r="C41" s="113"/>
      <c r="D41" s="113"/>
      <c r="E41" s="114"/>
      <c r="G41" s="11"/>
    </row>
    <row r="42" spans="1:8" ht="15" thickBot="1">
      <c r="A42" s="115"/>
      <c r="B42" s="67" t="s">
        <v>119</v>
      </c>
      <c r="C42" s="67" t="s">
        <v>120</v>
      </c>
      <c r="D42" s="67" t="s">
        <v>121</v>
      </c>
      <c r="E42" s="68" t="s">
        <v>95</v>
      </c>
      <c r="G42" s="296"/>
      <c r="H42" s="296"/>
    </row>
    <row r="43" spans="1:8" ht="28.5" customHeight="1" thickBot="1">
      <c r="A43" s="116" t="s">
        <v>53</v>
      </c>
      <c r="B43" s="21">
        <f>Q30+B38</f>
        <v>15.531372549019608</v>
      </c>
      <c r="C43" s="6">
        <f>R30+C38</f>
        <v>0.019862745098039213</v>
      </c>
      <c r="D43" s="6">
        <f>S30+K38</f>
        <v>0.5450827504491076</v>
      </c>
      <c r="E43" s="7">
        <f>T30+L38</f>
        <v>1.2014361885104918</v>
      </c>
      <c r="G43" s="230"/>
      <c r="H43" s="230"/>
    </row>
    <row r="44" spans="1:6" ht="24" thickBot="1">
      <c r="A44" s="5"/>
      <c r="B44" s="2"/>
      <c r="C44" s="2"/>
      <c r="D44" s="2"/>
      <c r="E44" s="2"/>
      <c r="F44" s="2"/>
    </row>
    <row r="45" spans="1:6" ht="24" thickBot="1">
      <c r="A45" s="117" t="s">
        <v>19</v>
      </c>
      <c r="B45" s="2"/>
      <c r="C45" s="2"/>
      <c r="D45" s="2"/>
      <c r="E45" s="2"/>
      <c r="F45" s="2"/>
    </row>
    <row r="46" spans="1:8" ht="24" thickBot="1">
      <c r="A46" s="118" t="s">
        <v>48</v>
      </c>
      <c r="B46" s="119"/>
      <c r="C46" s="120"/>
      <c r="D46" s="120"/>
      <c r="E46" s="120"/>
      <c r="F46" s="120"/>
      <c r="G46" s="218"/>
      <c r="H46" s="90"/>
    </row>
    <row r="47" spans="1:9" ht="27.75" customHeight="1" thickBot="1">
      <c r="A47" s="376"/>
      <c r="B47" s="377"/>
      <c r="C47" s="378" t="s">
        <v>25</v>
      </c>
      <c r="D47" s="379"/>
      <c r="E47" s="379"/>
      <c r="F47" s="379"/>
      <c r="G47" s="433" t="s">
        <v>103</v>
      </c>
      <c r="H47" s="308"/>
      <c r="I47" s="4"/>
    </row>
    <row r="48" spans="1:12" ht="26.25" thickBot="1">
      <c r="A48" s="382" t="s">
        <v>49</v>
      </c>
      <c r="B48" s="383"/>
      <c r="C48" s="215" t="s">
        <v>45</v>
      </c>
      <c r="D48" s="215" t="s">
        <v>46</v>
      </c>
      <c r="E48" s="215" t="s">
        <v>47</v>
      </c>
      <c r="F48" s="216" t="s">
        <v>127</v>
      </c>
      <c r="G48" s="122" t="s">
        <v>67</v>
      </c>
      <c r="H48" s="8"/>
      <c r="I48" s="8"/>
      <c r="J48" s="8"/>
      <c r="K48" s="8"/>
      <c r="L48" s="8"/>
    </row>
    <row r="49" spans="1:12" ht="25.5" customHeight="1">
      <c r="A49" s="380" t="s">
        <v>39</v>
      </c>
      <c r="B49" s="381"/>
      <c r="C49" s="123">
        <v>18</v>
      </c>
      <c r="D49" s="124">
        <v>0.03</v>
      </c>
      <c r="E49" s="123">
        <v>0.6</v>
      </c>
      <c r="F49" s="124">
        <v>1.5</v>
      </c>
      <c r="G49" s="281">
        <f>(D12+D13+D14)*100</f>
        <v>100</v>
      </c>
      <c r="H49" s="372"/>
      <c r="I49" s="373"/>
      <c r="K49" s="4"/>
      <c r="L49" s="4"/>
    </row>
    <row r="50" spans="1:7" ht="12.75" customHeight="1">
      <c r="A50" s="354" t="s">
        <v>40</v>
      </c>
      <c r="B50" s="355"/>
      <c r="C50" s="126">
        <v>25</v>
      </c>
      <c r="D50" s="127">
        <v>0.03</v>
      </c>
      <c r="E50" s="126">
        <v>0.6</v>
      </c>
      <c r="F50" s="127">
        <v>1.5</v>
      </c>
      <c r="G50" s="128">
        <f>(D15+D16+D17)*100</f>
        <v>0</v>
      </c>
    </row>
    <row r="51" spans="1:7" ht="12.75">
      <c r="A51" s="354" t="s">
        <v>41</v>
      </c>
      <c r="B51" s="355"/>
      <c r="C51" s="126">
        <v>10</v>
      </c>
      <c r="D51" s="127">
        <v>0.02</v>
      </c>
      <c r="E51" s="126">
        <v>0.6</v>
      </c>
      <c r="F51" s="127">
        <v>1.5</v>
      </c>
      <c r="G51" s="128">
        <f>(D18+D19+D20)*100</f>
        <v>0</v>
      </c>
    </row>
    <row r="52" spans="1:7" ht="12.75">
      <c r="A52" s="354" t="s">
        <v>42</v>
      </c>
      <c r="B52" s="355"/>
      <c r="C52" s="126">
        <v>15</v>
      </c>
      <c r="D52" s="127">
        <v>0.01</v>
      </c>
      <c r="E52" s="126">
        <v>0.2</v>
      </c>
      <c r="F52" s="127">
        <v>0.25</v>
      </c>
      <c r="G52" s="128">
        <f>(D21+D22)*100</f>
        <v>0</v>
      </c>
    </row>
    <row r="53" spans="1:7" ht="12.75">
      <c r="A53" s="354" t="s">
        <v>35</v>
      </c>
      <c r="B53" s="355"/>
      <c r="C53" s="126">
        <v>3</v>
      </c>
      <c r="D53" s="127">
        <v>0.01</v>
      </c>
      <c r="E53" s="126">
        <v>0.2</v>
      </c>
      <c r="F53" s="127">
        <v>0.25</v>
      </c>
      <c r="G53" s="128">
        <f>(D23+D24)*100</f>
        <v>0</v>
      </c>
    </row>
    <row r="54" spans="1:7" ht="12.75" customHeight="1">
      <c r="A54" s="354" t="s">
        <v>36</v>
      </c>
      <c r="B54" s="355"/>
      <c r="C54" s="126">
        <v>3</v>
      </c>
      <c r="D54" s="127">
        <v>0.01</v>
      </c>
      <c r="E54" s="126">
        <v>0.2</v>
      </c>
      <c r="F54" s="127">
        <v>0.25</v>
      </c>
      <c r="G54" s="128">
        <f>(D25+D26)*100</f>
        <v>0</v>
      </c>
    </row>
    <row r="55" spans="1:7" ht="12.75">
      <c r="A55" s="354" t="s">
        <v>34</v>
      </c>
      <c r="B55" s="355"/>
      <c r="C55" s="126">
        <v>3</v>
      </c>
      <c r="D55" s="127">
        <v>0.01</v>
      </c>
      <c r="E55" s="126">
        <v>0.2</v>
      </c>
      <c r="F55" s="127">
        <v>0.25</v>
      </c>
      <c r="G55" s="128">
        <f>(D27+D28)*100</f>
        <v>0</v>
      </c>
    </row>
    <row r="56" spans="1:7" ht="13.5" thickBot="1">
      <c r="A56" s="129" t="s">
        <v>17</v>
      </c>
      <c r="B56" s="130"/>
      <c r="C56" s="131"/>
      <c r="D56" s="132"/>
      <c r="E56" s="131"/>
      <c r="F56" s="132"/>
      <c r="G56" s="441">
        <f>+(C31-C30)/10</f>
        <v>102</v>
      </c>
    </row>
    <row r="57" spans="1:9" ht="12.75">
      <c r="A57" s="442" t="s">
        <v>37</v>
      </c>
      <c r="B57" s="125"/>
      <c r="C57" s="126"/>
      <c r="D57" s="127"/>
      <c r="E57" s="126"/>
      <c r="F57" s="127"/>
      <c r="G57" s="443"/>
      <c r="H57" s="350" t="s">
        <v>8</v>
      </c>
      <c r="I57" s="351"/>
    </row>
    <row r="58" spans="1:9" ht="13.5" thickBot="1">
      <c r="A58" s="133"/>
      <c r="B58" s="299" t="s">
        <v>38</v>
      </c>
      <c r="C58" s="300">
        <v>1.5</v>
      </c>
      <c r="D58" s="301">
        <v>0.01</v>
      </c>
      <c r="E58" s="300">
        <v>0.2</v>
      </c>
      <c r="F58" s="301">
        <v>0.5</v>
      </c>
      <c r="G58" s="302">
        <v>100</v>
      </c>
      <c r="H58" s="352"/>
      <c r="I58" s="353"/>
    </row>
    <row r="59" spans="1:6" ht="13.5" thickBot="1">
      <c r="A59" s="3"/>
      <c r="B59" s="2"/>
      <c r="C59" s="2"/>
      <c r="D59" s="2"/>
      <c r="E59" s="2"/>
      <c r="F59" s="2"/>
    </row>
    <row r="60" spans="1:6" ht="24" thickBot="1">
      <c r="A60" s="117" t="s">
        <v>20</v>
      </c>
      <c r="B60" s="2"/>
      <c r="C60" s="2"/>
      <c r="D60" s="2"/>
      <c r="E60" s="2"/>
      <c r="F60" s="2"/>
    </row>
    <row r="61" spans="1:6" ht="24" thickBot="1">
      <c r="A61" s="118" t="s">
        <v>63</v>
      </c>
      <c r="B61" s="119"/>
      <c r="C61" s="120"/>
      <c r="D61" s="120"/>
      <c r="E61" s="120"/>
      <c r="F61" s="90"/>
    </row>
    <row r="62" spans="1:5" ht="51" customHeight="1" thickBot="1">
      <c r="A62" s="66"/>
      <c r="B62" s="185" t="s">
        <v>104</v>
      </c>
      <c r="C62" s="185" t="s">
        <v>105</v>
      </c>
      <c r="D62" s="185" t="s">
        <v>106</v>
      </c>
      <c r="E62" s="185" t="s">
        <v>107</v>
      </c>
    </row>
    <row r="63" spans="1:6" ht="42" customHeight="1" thickBot="1">
      <c r="A63" s="427" t="s">
        <v>53</v>
      </c>
      <c r="B63" s="6">
        <f>(C49*$G$49+C50*$G$50+C51*$G$51+C52*$G$52+C53*$G$53+C54*$G$54+C55*$G$55+C57*$G$57+C58*$G$58)/100</f>
        <v>19.5</v>
      </c>
      <c r="C63" s="6">
        <f>(D49*$G$49+D50*$G$50+D51*$G$51+D52*$G$52+D53*$G$53+D54*$G$54+D55*$G$55+D57*$G$57+D58*$G$58)/100</f>
        <v>0.04</v>
      </c>
      <c r="D63" s="6">
        <f>(E49*$G$49+E50*$G$50+E51*$G$51+E52*$G$52+E53*$G$53+E54*$G$54+E55*$G$55+E57*$G$57+E58*$G$58)/100</f>
        <v>0.8</v>
      </c>
      <c r="E63" s="7">
        <f>(F49*$G$49+F50*$G$50+F51*$G$51+F52*$G$52+F53*$G$53+F54*$G$54+F55*$G$55+F57*$G$57+F58*$G$58)/100</f>
        <v>2</v>
      </c>
      <c r="F63" s="219"/>
    </row>
    <row r="64" spans="1:10" s="426" customFormat="1" ht="15" customHeight="1" thickBot="1">
      <c r="A64" s="423"/>
      <c r="B64" s="424"/>
      <c r="C64" s="424"/>
      <c r="D64" s="424"/>
      <c r="E64" s="424"/>
      <c r="F64" s="424"/>
      <c r="G64" s="425"/>
      <c r="H64" s="10"/>
      <c r="I64" s="10"/>
      <c r="J64" s="206"/>
    </row>
    <row r="65" spans="1:10" s="426" customFormat="1" ht="23.25" customHeight="1" thickBot="1">
      <c r="A65" s="428" t="s">
        <v>21</v>
      </c>
      <c r="B65" s="1"/>
      <c r="C65" s="424"/>
      <c r="D65" s="424"/>
      <c r="E65" s="424"/>
      <c r="F65" s="424"/>
      <c r="G65" s="425"/>
      <c r="H65" s="10"/>
      <c r="I65" s="10"/>
      <c r="J65" s="206"/>
    </row>
    <row r="66" spans="1:10" s="426" customFormat="1" ht="19.5" customHeight="1">
      <c r="A66" s="186" t="s">
        <v>191</v>
      </c>
      <c r="B66" s="430">
        <v>0.17</v>
      </c>
      <c r="C66" s="424"/>
      <c r="D66" s="424"/>
      <c r="E66" s="424"/>
      <c r="F66" s="424"/>
      <c r="G66" s="425"/>
      <c r="H66" s="10"/>
      <c r="I66" s="10"/>
      <c r="J66" s="206"/>
    </row>
    <row r="67" spans="1:10" s="426" customFormat="1" ht="17.25" customHeight="1" thickBot="1">
      <c r="A67" s="431" t="s">
        <v>192</v>
      </c>
      <c r="B67" s="432" t="b">
        <f>B66&gt;U30</f>
        <v>1</v>
      </c>
      <c r="C67" s="424"/>
      <c r="D67" s="424"/>
      <c r="E67" s="424"/>
      <c r="F67" s="424"/>
      <c r="G67" s="425"/>
      <c r="H67" s="10"/>
      <c r="I67" s="10"/>
      <c r="J67" s="206"/>
    </row>
    <row r="68" spans="1:9" s="138" customFormat="1" ht="12.75">
      <c r="A68" s="137"/>
      <c r="B68" s="1"/>
      <c r="C68" s="1"/>
      <c r="D68" s="1"/>
      <c r="E68" s="1"/>
      <c r="F68" s="389"/>
      <c r="G68" s="389"/>
      <c r="H68" s="389"/>
      <c r="I68" s="389"/>
    </row>
    <row r="69" spans="1:9" s="138" customFormat="1" ht="13.5" thickBot="1">
      <c r="A69" s="137"/>
      <c r="B69" s="1"/>
      <c r="C69" s="1"/>
      <c r="D69" s="1"/>
      <c r="E69" s="1"/>
      <c r="F69" s="136"/>
      <c r="G69" s="136"/>
      <c r="H69" s="136"/>
      <c r="I69" s="136"/>
    </row>
    <row r="70" spans="1:8" s="138" customFormat="1" ht="37.5" customHeight="1" thickBot="1">
      <c r="A70" s="184" t="s">
        <v>22</v>
      </c>
      <c r="B70" s="188" t="s">
        <v>109</v>
      </c>
      <c r="C70" s="189" t="s">
        <v>110</v>
      </c>
      <c r="D70" s="1"/>
      <c r="E70" s="136"/>
      <c r="F70" s="136"/>
      <c r="G70" s="136"/>
      <c r="H70" s="136"/>
    </row>
    <row r="71" spans="1:7" s="138" customFormat="1" ht="15.75">
      <c r="A71" s="186" t="s">
        <v>113</v>
      </c>
      <c r="B71" s="190">
        <f>Z30</f>
        <v>32.009803921568626</v>
      </c>
      <c r="C71" s="282" t="s">
        <v>129</v>
      </c>
      <c r="D71" s="136"/>
      <c r="E71" s="136"/>
      <c r="F71" s="136"/>
      <c r="G71" s="136"/>
    </row>
    <row r="72" spans="1:7" s="138" customFormat="1" ht="15.75">
      <c r="A72" s="187" t="s">
        <v>108</v>
      </c>
      <c r="B72" s="191">
        <f>AA30</f>
        <v>0</v>
      </c>
      <c r="C72" s="193" t="s">
        <v>112</v>
      </c>
      <c r="D72" s="136"/>
      <c r="E72" s="136"/>
      <c r="F72" s="136"/>
      <c r="G72" s="136"/>
    </row>
    <row r="73" spans="1:10" s="138" customFormat="1" ht="15.75" customHeight="1">
      <c r="A73" s="187" t="s">
        <v>138</v>
      </c>
      <c r="B73" s="283">
        <f>30-(0.4*B72)</f>
        <v>30</v>
      </c>
      <c r="C73" s="193" t="s">
        <v>111</v>
      </c>
      <c r="D73" s="388" t="s">
        <v>190</v>
      </c>
      <c r="E73" s="389"/>
      <c r="F73" s="389"/>
      <c r="G73" s="389"/>
      <c r="H73" s="389"/>
      <c r="I73" s="389"/>
      <c r="J73" s="389"/>
    </row>
    <row r="74" spans="1:7" s="138" customFormat="1" ht="18.75" thickBot="1">
      <c r="A74" s="429" t="s">
        <v>0</v>
      </c>
      <c r="B74" s="192"/>
      <c r="C74" s="194" t="b">
        <f>B71&gt;B73</f>
        <v>1</v>
      </c>
      <c r="D74" s="136"/>
      <c r="E74" s="136"/>
      <c r="F74" s="136"/>
      <c r="G74" s="136"/>
    </row>
    <row r="75" spans="1:9" s="138" customFormat="1" ht="13.5" thickBot="1">
      <c r="A75" s="137"/>
      <c r="B75" s="1"/>
      <c r="C75" s="1"/>
      <c r="D75" s="1"/>
      <c r="E75" s="1"/>
      <c r="F75" s="136"/>
      <c r="G75" s="136"/>
      <c r="H75" s="136"/>
      <c r="I75" s="136"/>
    </row>
    <row r="76" ht="24" thickBot="1">
      <c r="A76" s="117" t="s">
        <v>18</v>
      </c>
    </row>
    <row r="77" spans="1:4" ht="24" thickBot="1">
      <c r="A77" s="118" t="s">
        <v>128</v>
      </c>
      <c r="B77" s="140"/>
      <c r="C77" s="140"/>
      <c r="D77" s="121"/>
    </row>
    <row r="78" spans="1:4" ht="24" thickBot="1">
      <c r="A78" s="422"/>
      <c r="B78" s="134" t="s">
        <v>96</v>
      </c>
      <c r="C78" s="134" t="s">
        <v>32</v>
      </c>
      <c r="D78" s="417" t="s">
        <v>26</v>
      </c>
    </row>
    <row r="79" spans="1:4" ht="31.5" customHeight="1">
      <c r="A79" s="141" t="s">
        <v>97</v>
      </c>
      <c r="B79" s="142">
        <f>IF(B63=0,0,+B43/B63)</f>
        <v>0.796480643539467</v>
      </c>
      <c r="C79" s="143">
        <v>1.5</v>
      </c>
      <c r="D79" s="144" t="b">
        <f>B79&lt;C79</f>
        <v>1</v>
      </c>
    </row>
    <row r="80" spans="1:6" ht="21">
      <c r="A80" s="145" t="s">
        <v>98</v>
      </c>
      <c r="B80" s="146">
        <f>IF(C63=0,0,+C43/C63)</f>
        <v>0.49656862745098035</v>
      </c>
      <c r="C80" s="147">
        <v>1.5</v>
      </c>
      <c r="D80" s="148" t="b">
        <f>B80&lt;C80</f>
        <v>1</v>
      </c>
      <c r="F80" s="11" t="s">
        <v>140</v>
      </c>
    </row>
    <row r="81" spans="1:6" ht="21">
      <c r="A81" s="145" t="s">
        <v>99</v>
      </c>
      <c r="B81" s="146">
        <f>IF(D63=0,0,+D43/D63)</f>
        <v>0.6813534380613845</v>
      </c>
      <c r="C81" s="147">
        <v>1.5</v>
      </c>
      <c r="D81" s="148" t="b">
        <f>B81&lt;C81</f>
        <v>1</v>
      </c>
      <c r="F81" s="102" t="s">
        <v>140</v>
      </c>
    </row>
    <row r="82" spans="1:6" ht="21">
      <c r="A82" s="145" t="s">
        <v>100</v>
      </c>
      <c r="B82" s="146">
        <f>IF(E63=0,0,+E43/E63)</f>
        <v>0.6007180942552459</v>
      </c>
      <c r="C82" s="147">
        <v>1.5</v>
      </c>
      <c r="D82" s="148" t="b">
        <f>B82&lt;C82</f>
        <v>1</v>
      </c>
      <c r="F82" s="102" t="s">
        <v>140</v>
      </c>
    </row>
    <row r="83" spans="1:4" ht="21.75" thickBot="1">
      <c r="A83" s="149" t="s">
        <v>44</v>
      </c>
      <c r="B83" s="150">
        <f>SUM(B79:B82)</f>
        <v>2.575120803307078</v>
      </c>
      <c r="C83" s="284">
        <v>4</v>
      </c>
      <c r="D83" s="151" t="b">
        <f>B83&lt;C83</f>
        <v>1</v>
      </c>
    </row>
    <row r="84" ht="13.5" thickBot="1"/>
    <row r="85" ht="24" thickBot="1">
      <c r="A85" s="152" t="s">
        <v>188</v>
      </c>
    </row>
    <row r="86" spans="1:8" ht="27" customHeight="1" thickBot="1">
      <c r="A86" s="118" t="s">
        <v>14</v>
      </c>
      <c r="B86" s="140"/>
      <c r="C86" s="140"/>
      <c r="D86" s="121"/>
      <c r="E86" s="386" t="s">
        <v>125</v>
      </c>
      <c r="F86" s="387"/>
      <c r="G86" s="387"/>
      <c r="H86" s="387"/>
    </row>
    <row r="87" spans="1:8" ht="33.75" customHeight="1" thickBot="1">
      <c r="A87" s="398"/>
      <c r="B87" s="397" t="s">
        <v>96</v>
      </c>
      <c r="C87" s="397" t="s">
        <v>32</v>
      </c>
      <c r="D87" s="397" t="s">
        <v>26</v>
      </c>
      <c r="E87" s="253"/>
      <c r="F87" s="252"/>
      <c r="G87" s="252"/>
      <c r="H87" s="252"/>
    </row>
    <row r="88" spans="1:4" ht="23.25" customHeight="1">
      <c r="A88" s="153" t="s">
        <v>80</v>
      </c>
      <c r="B88" s="154">
        <f>IF(J38=0,0,+H38/J38)</f>
        <v>1.3592233009708738</v>
      </c>
      <c r="C88" s="155"/>
      <c r="D88" s="144"/>
    </row>
    <row r="89" spans="1:4" ht="21">
      <c r="A89" s="156" t="s">
        <v>81</v>
      </c>
      <c r="B89" s="157">
        <f>IF(G38=0,0,+(F38-1.25*I38)/G38)</f>
        <v>1.0722222222222222</v>
      </c>
      <c r="C89" s="158"/>
      <c r="D89" s="148"/>
    </row>
    <row r="90" spans="1:4" ht="21">
      <c r="A90" s="156" t="s">
        <v>88</v>
      </c>
      <c r="B90" s="157">
        <f>+W30</f>
        <v>0.7858823529411765</v>
      </c>
      <c r="C90" s="158"/>
      <c r="D90" s="148"/>
    </row>
    <row r="91" spans="1:4" ht="21">
      <c r="A91" s="156" t="s">
        <v>89</v>
      </c>
      <c r="B91" s="157">
        <f>+V30</f>
        <v>1.1720072239422086</v>
      </c>
      <c r="C91" s="158"/>
      <c r="D91" s="148"/>
    </row>
    <row r="92" spans="1:4" ht="18">
      <c r="A92" s="156"/>
      <c r="B92" s="157"/>
      <c r="C92" s="158"/>
      <c r="D92" s="148"/>
    </row>
    <row r="93" spans="1:4" ht="21">
      <c r="A93" s="156" t="s">
        <v>90</v>
      </c>
      <c r="B93" s="157">
        <f>IF(J38=0,0,+Y30/(Y30+J38))</f>
        <v>0.42134831460674155</v>
      </c>
      <c r="C93" s="158"/>
      <c r="D93" s="148"/>
    </row>
    <row r="94" spans="1:4" ht="21">
      <c r="A94" s="156" t="s">
        <v>91</v>
      </c>
      <c r="B94" s="157">
        <f>IF(J38=0,0,+J38/(J38+Y30))</f>
        <v>0.5786516853932584</v>
      </c>
      <c r="C94" s="158"/>
      <c r="D94" s="148"/>
    </row>
    <row r="95" spans="1:4" ht="21.75" thickBot="1">
      <c r="A95" s="156" t="s">
        <v>79</v>
      </c>
      <c r="B95" s="157">
        <f>+B93*B90+B94*B88</f>
        <v>1.1176470588235294</v>
      </c>
      <c r="C95" s="284">
        <v>1.15</v>
      </c>
      <c r="D95" s="148" t="b">
        <f>B95&lt;C95</f>
        <v>1</v>
      </c>
    </row>
    <row r="96" spans="1:4" ht="18">
      <c r="A96" s="156"/>
      <c r="B96" s="157"/>
      <c r="C96" s="158"/>
      <c r="D96" s="148"/>
    </row>
    <row r="97" spans="1:4" ht="21">
      <c r="A97" s="156" t="s">
        <v>92</v>
      </c>
      <c r="B97" s="157">
        <f>IF(G38=0,0,+X30/(X30+G38))</f>
        <v>0.7251908396946565</v>
      </c>
      <c r="C97" s="158"/>
      <c r="D97" s="148"/>
    </row>
    <row r="98" spans="1:4" ht="21">
      <c r="A98" s="156" t="s">
        <v>93</v>
      </c>
      <c r="B98" s="157">
        <f>IF(G38=0,0,+G38/(G38+X30))</f>
        <v>0.2748091603053435</v>
      </c>
      <c r="C98" s="158"/>
      <c r="D98" s="148"/>
    </row>
    <row r="99" spans="1:4" ht="21.75" thickBot="1">
      <c r="A99" s="156" t="s">
        <v>94</v>
      </c>
      <c r="B99" s="157">
        <f>+B97*B91+B98*B89</f>
        <v>1.144585391408472</v>
      </c>
      <c r="C99" s="284">
        <v>1.15</v>
      </c>
      <c r="D99" s="148" t="b">
        <f>B99&lt;C99</f>
        <v>1</v>
      </c>
    </row>
    <row r="100" spans="1:4" ht="12.75" customHeight="1" thickBot="1">
      <c r="A100" s="220"/>
      <c r="B100" s="221"/>
      <c r="C100" s="10"/>
      <c r="D100" s="177"/>
    </row>
    <row r="101" spans="1:5" ht="24" customHeight="1" thickBot="1" thickTop="1">
      <c r="A101" s="254" t="s">
        <v>184</v>
      </c>
      <c r="B101" s="221"/>
      <c r="C101" s="10"/>
      <c r="D101" s="177"/>
      <c r="E101" s="135"/>
    </row>
    <row r="102" spans="1:6" ht="24.75" customHeight="1" thickBot="1" thickTop="1">
      <c r="A102" s="228" t="s">
        <v>130</v>
      </c>
      <c r="B102" s="227"/>
      <c r="C102" s="227"/>
      <c r="D102" s="325"/>
      <c r="E102" s="135"/>
      <c r="F102" s="135"/>
    </row>
    <row r="103" spans="1:5" ht="42" customHeight="1" thickBot="1">
      <c r="A103" s="418" t="s">
        <v>58</v>
      </c>
      <c r="B103" s="419" t="s">
        <v>33</v>
      </c>
      <c r="C103" s="420" t="s">
        <v>65</v>
      </c>
      <c r="D103" s="421" t="s">
        <v>133</v>
      </c>
      <c r="E103" s="222"/>
    </row>
    <row r="104" spans="1:5" ht="20.25" customHeight="1">
      <c r="A104" s="412" t="s">
        <v>131</v>
      </c>
      <c r="B104" s="236" t="s">
        <v>134</v>
      </c>
      <c r="C104" s="399">
        <v>150</v>
      </c>
      <c r="D104" s="407">
        <f>C104*D12</f>
        <v>51.470588235294116</v>
      </c>
      <c r="E104" s="229"/>
    </row>
    <row r="105" spans="1:5" ht="17.25" customHeight="1">
      <c r="A105" s="413"/>
      <c r="B105" s="237" t="s">
        <v>137</v>
      </c>
      <c r="C105" s="400">
        <v>178</v>
      </c>
      <c r="D105" s="193">
        <f>C105*D13</f>
        <v>116.92156862745098</v>
      </c>
      <c r="E105" s="222"/>
    </row>
    <row r="106" spans="1:4" ht="16.5" customHeight="1" thickBot="1">
      <c r="A106" s="414"/>
      <c r="B106" s="238"/>
      <c r="C106" s="401"/>
      <c r="D106" s="408">
        <f>C106*D14</f>
        <v>0</v>
      </c>
    </row>
    <row r="107" spans="1:4" ht="16.5" customHeight="1">
      <c r="A107" s="412" t="s">
        <v>189</v>
      </c>
      <c r="B107" s="239"/>
      <c r="C107" s="399"/>
      <c r="D107" s="407">
        <f>C107*D15</f>
        <v>0</v>
      </c>
    </row>
    <row r="108" spans="1:4" ht="17.25" customHeight="1">
      <c r="A108" s="413"/>
      <c r="B108" s="240"/>
      <c r="C108" s="402"/>
      <c r="D108" s="193">
        <f>C108*D16</f>
        <v>0</v>
      </c>
    </row>
    <row r="109" spans="1:4" ht="13.5" customHeight="1" thickBot="1">
      <c r="A109" s="414"/>
      <c r="B109" s="238"/>
      <c r="C109" s="403"/>
      <c r="D109" s="408">
        <f>C109*D17</f>
        <v>0</v>
      </c>
    </row>
    <row r="110" spans="1:4" ht="13.5" customHeight="1">
      <c r="A110" s="224" t="s">
        <v>41</v>
      </c>
      <c r="B110" s="236"/>
      <c r="C110" s="399"/>
      <c r="D110" s="407">
        <f>C110*D18</f>
        <v>0</v>
      </c>
    </row>
    <row r="111" spans="1:4" ht="13.5" customHeight="1">
      <c r="A111" s="223"/>
      <c r="B111" s="241"/>
      <c r="C111" s="402"/>
      <c r="D111" s="193">
        <f>C111*D19</f>
        <v>0</v>
      </c>
    </row>
    <row r="112" spans="1:4" ht="13.5" customHeight="1" thickBot="1">
      <c r="A112" s="234"/>
      <c r="B112" s="242"/>
      <c r="C112" s="403"/>
      <c r="D112" s="408">
        <f>C112*D20</f>
        <v>0</v>
      </c>
    </row>
    <row r="113" spans="1:4" ht="15" customHeight="1">
      <c r="A113" s="225" t="s">
        <v>42</v>
      </c>
      <c r="B113" s="236"/>
      <c r="C113" s="399"/>
      <c r="D113" s="407">
        <f>C113*D21</f>
        <v>0</v>
      </c>
    </row>
    <row r="114" spans="1:4" ht="13.5" customHeight="1" thickBot="1">
      <c r="A114" s="235"/>
      <c r="B114" s="243"/>
      <c r="C114" s="404"/>
      <c r="D114" s="409">
        <f>C114*D22</f>
        <v>0</v>
      </c>
    </row>
    <row r="115" spans="1:4" ht="15.75" customHeight="1">
      <c r="A115" s="225" t="s">
        <v>183</v>
      </c>
      <c r="B115" s="236"/>
      <c r="C115" s="399"/>
      <c r="D115" s="407">
        <f>C115*D23</f>
        <v>0</v>
      </c>
    </row>
    <row r="116" spans="1:4" ht="13.5" customHeight="1" thickBot="1">
      <c r="A116" s="226"/>
      <c r="B116" s="245"/>
      <c r="C116" s="401"/>
      <c r="D116" s="409">
        <f>C116*D24</f>
        <v>0</v>
      </c>
    </row>
    <row r="117" spans="1:4" ht="15.75" customHeight="1">
      <c r="A117" s="225" t="s">
        <v>183</v>
      </c>
      <c r="B117" s="237"/>
      <c r="C117" s="400"/>
      <c r="D117" s="407">
        <f>C117*D25</f>
        <v>0</v>
      </c>
    </row>
    <row r="118" spans="1:4" ht="13.5" customHeight="1" thickBot="1">
      <c r="A118" s="235"/>
      <c r="B118" s="243"/>
      <c r="C118" s="404"/>
      <c r="D118" s="409">
        <f>C118*D26</f>
        <v>0</v>
      </c>
    </row>
    <row r="119" spans="1:4" ht="16.5" customHeight="1">
      <c r="A119" s="224" t="s">
        <v>34</v>
      </c>
      <c r="B119" s="236"/>
      <c r="C119" s="399"/>
      <c r="D119" s="407">
        <f>C119*D27</f>
        <v>0</v>
      </c>
    </row>
    <row r="120" spans="1:5" ht="18" customHeight="1" thickBot="1">
      <c r="A120" s="223"/>
      <c r="B120" s="244"/>
      <c r="C120" s="404"/>
      <c r="D120" s="409">
        <f>C120*D28</f>
        <v>0</v>
      </c>
      <c r="E120" s="222"/>
    </row>
    <row r="121" spans="1:5" ht="15.75" customHeight="1">
      <c r="A121" s="396" t="s">
        <v>186</v>
      </c>
      <c r="B121" s="303" t="s">
        <v>158</v>
      </c>
      <c r="C121" s="405">
        <v>700</v>
      </c>
      <c r="D121" s="410">
        <f>C121</f>
        <v>700</v>
      </c>
      <c r="E121" s="222"/>
    </row>
    <row r="122" spans="1:5" ht="16.5" customHeight="1" thickBot="1">
      <c r="A122" s="223"/>
      <c r="B122" s="326"/>
      <c r="C122" s="406"/>
      <c r="D122" s="411">
        <f>C122</f>
        <v>0</v>
      </c>
      <c r="E122" s="222"/>
    </row>
    <row r="123" spans="1:5" ht="19.5" customHeight="1" thickBot="1">
      <c r="A123" s="327" t="s">
        <v>132</v>
      </c>
      <c r="B123" s="259"/>
      <c r="C123" s="329"/>
      <c r="D123" s="328">
        <f>SUM(D104:D120,D121:D122)</f>
        <v>868.3921568627451</v>
      </c>
      <c r="E123" s="222"/>
    </row>
    <row r="124" spans="1:5" ht="20.25" customHeight="1" thickBot="1">
      <c r="A124" s="256" t="s">
        <v>187</v>
      </c>
      <c r="B124" s="257"/>
      <c r="C124" s="324"/>
      <c r="D124" s="258">
        <v>1100</v>
      </c>
      <c r="E124" s="222"/>
    </row>
    <row r="125" spans="1:5" ht="23.25" customHeight="1" thickBot="1">
      <c r="A125" s="139" t="s">
        <v>185</v>
      </c>
      <c r="B125" s="259"/>
      <c r="C125" s="260"/>
      <c r="D125" s="261" t="b">
        <f>D123&lt;D124</f>
        <v>1</v>
      </c>
      <c r="E125" s="222"/>
    </row>
    <row r="126" spans="1:6" ht="20.25" customHeight="1">
      <c r="A126" s="220"/>
      <c r="B126" s="221"/>
      <c r="C126" s="10"/>
      <c r="D126" s="177"/>
      <c r="E126" s="177"/>
      <c r="F126" s="222"/>
    </row>
    <row r="127" spans="1:6" ht="18.75" customHeight="1">
      <c r="A127" s="220"/>
      <c r="B127" s="221"/>
      <c r="C127" s="10"/>
      <c r="D127" s="177"/>
      <c r="E127" s="177"/>
      <c r="F127" s="222"/>
    </row>
    <row r="128" ht="23.25" customHeight="1"/>
    <row r="129" ht="26.25" customHeight="1">
      <c r="E129" s="10"/>
    </row>
    <row r="130" ht="24" customHeight="1">
      <c r="E130" s="10"/>
    </row>
    <row r="131" ht="21.75" customHeight="1"/>
    <row r="133" ht="106.5" customHeight="1"/>
  </sheetData>
  <sheetProtection/>
  <mergeCells count="31">
    <mergeCell ref="F68:I68"/>
    <mergeCell ref="E86:H86"/>
    <mergeCell ref="D73:J73"/>
    <mergeCell ref="A104:A106"/>
    <mergeCell ref="A107:A109"/>
    <mergeCell ref="C5:H5"/>
    <mergeCell ref="V10:W10"/>
    <mergeCell ref="A55:B55"/>
    <mergeCell ref="A47:B47"/>
    <mergeCell ref="C47:F47"/>
    <mergeCell ref="A49:B49"/>
    <mergeCell ref="A48:B48"/>
    <mergeCell ref="C10:D10"/>
    <mergeCell ref="L10:P10"/>
    <mergeCell ref="Q10:U10"/>
    <mergeCell ref="A9:E9"/>
    <mergeCell ref="C3:H3"/>
    <mergeCell ref="C4:H4"/>
    <mergeCell ref="Q9:AA9"/>
    <mergeCell ref="H49:I49"/>
    <mergeCell ref="A1:I1"/>
    <mergeCell ref="Z10:AA10"/>
    <mergeCell ref="E10:K10"/>
    <mergeCell ref="A34:J34"/>
    <mergeCell ref="H57:I58"/>
    <mergeCell ref="A53:B53"/>
    <mergeCell ref="A54:B54"/>
    <mergeCell ref="A51:B51"/>
    <mergeCell ref="A52:B52"/>
    <mergeCell ref="X10:Y10"/>
    <mergeCell ref="A50:B50"/>
  </mergeCells>
  <printOptions/>
  <pageMargins left="0.2362204724409449" right="0.11811023622047245" top="0.3937007874015748" bottom="0.31496062992125984" header="0.2755905511811024" footer="0.2362204724409449"/>
  <pageSetup fitToHeight="6" fitToWidth="5" horizontalDpi="600" verticalDpi="600" orientation="landscape" paperSize="9" r:id="rId1"/>
  <rowBreaks count="6" manualBreakCount="6">
    <brk id="7" max="255" man="1"/>
    <brk id="32" max="26" man="1"/>
    <brk id="44" max="255" man="1"/>
    <brk id="67" max="26" man="1"/>
    <brk id="84" max="255" man="1"/>
    <brk id="99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5"/>
  <sheetViews>
    <sheetView showFormulas="1" zoomScalePageLayoutView="0" workbookViewId="0" topLeftCell="A78">
      <selection activeCell="B63" sqref="B63"/>
    </sheetView>
  </sheetViews>
  <sheetFormatPr defaultColWidth="11.375" defaultRowHeight="12.75"/>
  <cols>
    <col min="1" max="1" width="28.00390625" style="1" customWidth="1"/>
    <col min="2" max="2" width="19.875" style="1" customWidth="1"/>
    <col min="3" max="3" width="16.25390625" style="1" customWidth="1"/>
    <col min="4" max="4" width="11.625" style="1" customWidth="1"/>
    <col min="5" max="6" width="11.375" style="1" customWidth="1"/>
    <col min="7" max="7" width="12.125" style="1" customWidth="1"/>
    <col min="8" max="8" width="11.375" style="1" customWidth="1"/>
    <col min="9" max="9" width="17.375" style="1" customWidth="1"/>
    <col min="10" max="10" width="11.375" style="1" customWidth="1"/>
    <col min="11" max="11" width="11.00390625" style="1" bestFit="1" customWidth="1"/>
    <col min="12" max="12" width="11.375" style="1" customWidth="1"/>
    <col min="13" max="13" width="11.875" style="1" bestFit="1" customWidth="1"/>
    <col min="14" max="14" width="11.875" style="1" customWidth="1"/>
    <col min="15" max="15" width="11.125" style="1" customWidth="1"/>
    <col min="16" max="18" width="11.375" style="1" customWidth="1"/>
    <col min="19" max="19" width="11.625" style="1" customWidth="1"/>
    <col min="20" max="20" width="11.875" style="1" customWidth="1"/>
    <col min="21" max="16384" width="11.375" style="1" customWidth="1"/>
  </cols>
  <sheetData>
    <row r="1" spans="1:20" s="11" customFormat="1" ht="45">
      <c r="A1" s="356" t="s">
        <v>194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1:20" s="11" customFormat="1" ht="45">
      <c r="A2" s="356" t="s">
        <v>86</v>
      </c>
      <c r="B2" s="390"/>
      <c r="C2" s="390"/>
      <c r="D2" s="39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11" customFormat="1" ht="45">
      <c r="A3" s="43" t="s">
        <v>1</v>
      </c>
      <c r="B3" s="43"/>
      <c r="C3" s="363"/>
      <c r="D3" s="364"/>
      <c r="E3" s="364"/>
      <c r="F3" s="364"/>
      <c r="G3" s="364"/>
      <c r="H3" s="365"/>
      <c r="I3" s="43"/>
      <c r="J3" s="43"/>
      <c r="K3" s="43"/>
      <c r="L3" s="54"/>
      <c r="M3" s="54"/>
      <c r="N3" s="54"/>
      <c r="O3" s="54"/>
      <c r="P3" s="54"/>
      <c r="Q3" s="54"/>
      <c r="R3" s="54"/>
      <c r="S3" s="54"/>
      <c r="T3" s="54"/>
    </row>
    <row r="4" spans="1:20" s="11" customFormat="1" ht="45">
      <c r="A4" s="43" t="s">
        <v>2</v>
      </c>
      <c r="B4" s="43"/>
      <c r="C4" s="391" t="s">
        <v>160</v>
      </c>
      <c r="D4" s="364"/>
      <c r="E4" s="364"/>
      <c r="F4" s="364"/>
      <c r="G4" s="364"/>
      <c r="H4" s="365"/>
      <c r="I4" s="43"/>
      <c r="J4" s="43"/>
      <c r="K4" s="43"/>
      <c r="L4" s="54"/>
      <c r="M4" s="54"/>
      <c r="N4" s="54"/>
      <c r="O4" s="54"/>
      <c r="P4" s="54"/>
      <c r="Q4" s="54"/>
      <c r="R4" s="54"/>
      <c r="S4" s="54"/>
      <c r="T4" s="54"/>
    </row>
    <row r="5" spans="1:20" s="11" customFormat="1" ht="45">
      <c r="A5" s="43" t="s">
        <v>7</v>
      </c>
      <c r="B5" s="43"/>
      <c r="C5" s="49"/>
      <c r="D5" s="50"/>
      <c r="E5" s="50"/>
      <c r="F5" s="50"/>
      <c r="G5" s="50"/>
      <c r="H5" s="51"/>
      <c r="I5" s="43"/>
      <c r="J5" s="43"/>
      <c r="K5" s="43"/>
      <c r="L5" s="54"/>
      <c r="M5" s="54"/>
      <c r="N5" s="54"/>
      <c r="O5" s="54"/>
      <c r="P5" s="54"/>
      <c r="Q5" s="54"/>
      <c r="R5" s="54"/>
      <c r="S5" s="54"/>
      <c r="T5" s="54"/>
    </row>
    <row r="6" s="24" customFormat="1" ht="18">
      <c r="L6" s="47"/>
    </row>
    <row r="7" spans="2:21" s="24" customFormat="1" ht="18">
      <c r="B7" s="55"/>
      <c r="C7" s="55"/>
      <c r="D7" s="55"/>
      <c r="E7" s="55"/>
      <c r="L7" s="48"/>
      <c r="U7" s="25"/>
    </row>
    <row r="8" spans="1:31" s="11" customFormat="1" ht="24" thickBot="1">
      <c r="A8" s="56" t="s">
        <v>9</v>
      </c>
      <c r="B8" s="57"/>
      <c r="C8" s="58"/>
      <c r="D8" s="59"/>
      <c r="E8" s="59"/>
      <c r="F8" s="26"/>
      <c r="G8" s="27"/>
      <c r="H8" s="27"/>
      <c r="I8" s="28"/>
      <c r="J8" s="26"/>
      <c r="AD8" s="394"/>
      <c r="AE8" s="394"/>
    </row>
    <row r="9" spans="1:31" s="11" customFormat="1" ht="21.75" customHeight="1" thickBot="1">
      <c r="A9" s="348" t="s">
        <v>57</v>
      </c>
      <c r="B9" s="348"/>
      <c r="C9" s="348"/>
      <c r="D9" s="348"/>
      <c r="E9" s="348"/>
      <c r="F9" s="60"/>
      <c r="G9" s="61"/>
      <c r="H9" s="62"/>
      <c r="I9" s="62"/>
      <c r="J9" s="62"/>
      <c r="K9" s="62"/>
      <c r="L9" s="60"/>
      <c r="M9" s="61"/>
      <c r="N9" s="63"/>
      <c r="O9" s="63"/>
      <c r="P9" s="63"/>
      <c r="Q9" s="369" t="s">
        <v>62</v>
      </c>
      <c r="R9" s="370"/>
      <c r="S9" s="370"/>
      <c r="T9" s="370"/>
      <c r="U9" s="370"/>
      <c r="V9" s="370"/>
      <c r="W9" s="370"/>
      <c r="X9" s="370"/>
      <c r="Y9" s="370"/>
      <c r="Z9" s="370"/>
      <c r="AA9" s="371"/>
      <c r="AD9" s="394"/>
      <c r="AE9" s="394"/>
    </row>
    <row r="10" spans="1:31" s="11" customFormat="1" ht="24" customHeight="1" thickBot="1">
      <c r="A10" s="64"/>
      <c r="B10" s="65"/>
      <c r="C10" s="384" t="s">
        <v>126</v>
      </c>
      <c r="D10" s="385"/>
      <c r="E10" s="344" t="s">
        <v>59</v>
      </c>
      <c r="F10" s="345"/>
      <c r="G10" s="345"/>
      <c r="H10" s="345"/>
      <c r="I10" s="345"/>
      <c r="J10" s="345"/>
      <c r="K10" s="346"/>
      <c r="L10" s="357" t="s">
        <v>61</v>
      </c>
      <c r="M10" s="358"/>
      <c r="N10" s="358"/>
      <c r="O10" s="358"/>
      <c r="P10" s="359"/>
      <c r="Q10" s="360" t="s">
        <v>102</v>
      </c>
      <c r="R10" s="361"/>
      <c r="S10" s="361"/>
      <c r="T10" s="361"/>
      <c r="U10" s="362"/>
      <c r="V10" s="374" t="s">
        <v>77</v>
      </c>
      <c r="W10" s="375"/>
      <c r="X10" s="342" t="s">
        <v>78</v>
      </c>
      <c r="Y10" s="343"/>
      <c r="Z10" s="342" t="s">
        <v>118</v>
      </c>
      <c r="AA10" s="343"/>
      <c r="AD10" s="395"/>
      <c r="AE10" s="395"/>
    </row>
    <row r="11" spans="1:31" s="28" customFormat="1" ht="51.75" thickBot="1">
      <c r="A11" s="69" t="s">
        <v>58</v>
      </c>
      <c r="B11" s="70" t="s">
        <v>33</v>
      </c>
      <c r="C11" s="71" t="s">
        <v>122</v>
      </c>
      <c r="D11" s="71" t="s">
        <v>56</v>
      </c>
      <c r="E11" s="71" t="s">
        <v>115</v>
      </c>
      <c r="F11" s="71" t="s">
        <v>114</v>
      </c>
      <c r="G11" s="72" t="s">
        <v>27</v>
      </c>
      <c r="H11" s="73" t="s">
        <v>28</v>
      </c>
      <c r="I11" s="73" t="s">
        <v>29</v>
      </c>
      <c r="J11" s="73" t="s">
        <v>30</v>
      </c>
      <c r="K11" s="74" t="s">
        <v>31</v>
      </c>
      <c r="L11" s="72" t="s">
        <v>73</v>
      </c>
      <c r="M11" s="75" t="s">
        <v>72</v>
      </c>
      <c r="N11" s="76" t="s">
        <v>13</v>
      </c>
      <c r="O11" s="77" t="s">
        <v>69</v>
      </c>
      <c r="P11" s="78" t="s">
        <v>74</v>
      </c>
      <c r="Q11" s="79" t="s">
        <v>27</v>
      </c>
      <c r="R11" s="73" t="s">
        <v>28</v>
      </c>
      <c r="S11" s="73" t="s">
        <v>139</v>
      </c>
      <c r="T11" s="73" t="s">
        <v>193</v>
      </c>
      <c r="U11" s="74" t="s">
        <v>31</v>
      </c>
      <c r="V11" s="79" t="s">
        <v>16</v>
      </c>
      <c r="W11" s="202" t="s">
        <v>15</v>
      </c>
      <c r="X11" s="197" t="s">
        <v>75</v>
      </c>
      <c r="Y11" s="198" t="s">
        <v>76</v>
      </c>
      <c r="Z11" s="204" t="s">
        <v>116</v>
      </c>
      <c r="AA11" s="205" t="s">
        <v>117</v>
      </c>
      <c r="AD11" s="296"/>
      <c r="AE11" s="296"/>
    </row>
    <row r="12" spans="1:31" s="11" customFormat="1" ht="38.25">
      <c r="A12" s="80" t="s">
        <v>39</v>
      </c>
      <c r="B12" s="30" t="s">
        <v>135</v>
      </c>
      <c r="C12" s="265">
        <v>350</v>
      </c>
      <c r="D12" s="262">
        <f>+C12/($C$31-$C$30)</f>
        <v>0.3431372549019608</v>
      </c>
      <c r="E12" s="266">
        <v>55</v>
      </c>
      <c r="F12" s="232"/>
      <c r="G12" s="159">
        <v>20</v>
      </c>
      <c r="H12" s="160">
        <v>0.03</v>
      </c>
      <c r="I12" s="160">
        <v>0.4</v>
      </c>
      <c r="J12" s="160">
        <v>0.9</v>
      </c>
      <c r="K12" s="161">
        <v>0.17</v>
      </c>
      <c r="L12" s="165">
        <v>6000</v>
      </c>
      <c r="M12" s="166">
        <v>4750</v>
      </c>
      <c r="N12" s="167">
        <v>550</v>
      </c>
      <c r="O12" s="168">
        <v>550</v>
      </c>
      <c r="P12" s="169">
        <v>750</v>
      </c>
      <c r="Q12" s="272">
        <f>$D12*G12</f>
        <v>6.862745098039216</v>
      </c>
      <c r="R12" s="273">
        <f aca="true" t="shared" si="0" ref="R12:R29">$D12*H12</f>
        <v>0.010294117647058823</v>
      </c>
      <c r="S12" s="287">
        <f>IF($O12=0,$I12*$D12,($I12-((2*$O12)/(2*$O12+($L12-1.25*$O12)))*$I12)*$D12)</f>
        <v>0.11371020142949968</v>
      </c>
      <c r="T12" s="288">
        <f>IF($O12=0,$J12*$D12,($J12-((2*$O12)/(2*$O12+($L12-1.25*$O12)))*$J12)*$D12)</f>
        <v>0.25584795321637427</v>
      </c>
      <c r="U12" s="274">
        <f aca="true" t="shared" si="1" ref="U12:U29">$D12*K12</f>
        <v>0.05833333333333334</v>
      </c>
      <c r="V12" s="209">
        <f aca="true" t="shared" si="2" ref="V12:V29">IF(M12=0,0,+((L12-1.25*O12)/M12)*$D12)</f>
        <v>0.38377192982456143</v>
      </c>
      <c r="W12" s="210">
        <f>IF(P12=0,0,+(N12/P12)*$D12)</f>
        <v>0.25163398692810457</v>
      </c>
      <c r="X12" s="201">
        <f>IF(M12=0,0,+M12*$D12)</f>
        <v>1629.9019607843138</v>
      </c>
      <c r="Y12" s="200">
        <f>IF(P12=0,0,+P12*$D12)</f>
        <v>257.3529411764706</v>
      </c>
      <c r="Z12" s="199">
        <f>E12*D12</f>
        <v>18.872549019607842</v>
      </c>
      <c r="AA12" s="81">
        <f>F12*D12</f>
        <v>0</v>
      </c>
      <c r="AD12" s="285"/>
      <c r="AE12" s="285"/>
    </row>
    <row r="13" spans="1:31" s="11" customFormat="1" ht="12.75">
      <c r="A13" s="82"/>
      <c r="B13" s="31" t="s">
        <v>136</v>
      </c>
      <c r="C13" s="267">
        <v>670</v>
      </c>
      <c r="D13" s="262">
        <f aca="true" t="shared" si="3" ref="D13:D29">+C13/(C$31-C$30)</f>
        <v>0.6568627450980392</v>
      </c>
      <c r="E13" s="266">
        <v>20</v>
      </c>
      <c r="F13" s="232"/>
      <c r="G13" s="162">
        <v>10</v>
      </c>
      <c r="H13" s="163">
        <v>0.01</v>
      </c>
      <c r="I13" s="163">
        <v>0.2</v>
      </c>
      <c r="J13" s="163">
        <v>0.45</v>
      </c>
      <c r="K13" s="164">
        <v>0.15</v>
      </c>
      <c r="L13" s="165">
        <v>5700</v>
      </c>
      <c r="M13" s="166">
        <v>4750</v>
      </c>
      <c r="N13" s="167">
        <v>610</v>
      </c>
      <c r="O13" s="168">
        <v>0</v>
      </c>
      <c r="P13" s="166">
        <v>750</v>
      </c>
      <c r="Q13" s="275">
        <f aca="true" t="shared" si="4" ref="Q13:Q29">$D13*G13</f>
        <v>6.568627450980392</v>
      </c>
      <c r="R13" s="276">
        <f t="shared" si="0"/>
        <v>0.006568627450980392</v>
      </c>
      <c r="S13" s="292">
        <f aca="true" t="shared" si="5" ref="S13:S29">IF($O13=0,$I13*$D13,($I13-((2*$O13)/(2*$O13+($L13-1.25*$O13)))*$I13)*$D13)</f>
        <v>0.13137254901960785</v>
      </c>
      <c r="T13" s="246">
        <f aca="true" t="shared" si="6" ref="T13:T29">IF($O13=0,$J13*$D13,($J13-((2*$O13)/(2*$O13+($L13-1.25*$O13)))*$J13)*$D13)</f>
        <v>0.29558823529411765</v>
      </c>
      <c r="U13" s="277">
        <f t="shared" si="1"/>
        <v>0.09852941176470588</v>
      </c>
      <c r="V13" s="211">
        <f t="shared" si="2"/>
        <v>0.788235294117647</v>
      </c>
      <c r="W13" s="212">
        <f aca="true" t="shared" si="7" ref="W13:W29">IF(P13=0,0,+(N13/P13)*$D13)</f>
        <v>0.5342483660130719</v>
      </c>
      <c r="X13" s="195">
        <f aca="true" t="shared" si="8" ref="X13:X29">IF(M13=0,0,+M13*$D13)</f>
        <v>3120.098039215686</v>
      </c>
      <c r="Y13" s="19">
        <f aca="true" t="shared" si="9" ref="Y13:Y29">IF(P13=0,0,+P13*$D13)</f>
        <v>492.6470588235294</v>
      </c>
      <c r="Z13" s="195">
        <f aca="true" t="shared" si="10" ref="Z13:Z29">E13*D13</f>
        <v>13.137254901960784</v>
      </c>
      <c r="AA13" s="19">
        <f aca="true" t="shared" si="11" ref="AA13:AA28">F13*D13</f>
        <v>0</v>
      </c>
      <c r="AD13" s="285"/>
      <c r="AE13" s="285"/>
    </row>
    <row r="14" spans="1:31" s="11" customFormat="1" ht="13.5" thickBot="1">
      <c r="A14" s="83"/>
      <c r="B14" s="32"/>
      <c r="C14" s="267"/>
      <c r="D14" s="262">
        <f t="shared" si="3"/>
        <v>0</v>
      </c>
      <c r="E14" s="266"/>
      <c r="F14" s="232"/>
      <c r="G14" s="162"/>
      <c r="H14" s="163"/>
      <c r="I14" s="163"/>
      <c r="J14" s="163"/>
      <c r="K14" s="164"/>
      <c r="L14" s="165"/>
      <c r="M14" s="166"/>
      <c r="N14" s="167"/>
      <c r="O14" s="168"/>
      <c r="P14" s="166"/>
      <c r="Q14" s="275">
        <f t="shared" si="4"/>
        <v>0</v>
      </c>
      <c r="R14" s="276">
        <f t="shared" si="0"/>
        <v>0</v>
      </c>
      <c r="S14" s="292">
        <f t="shared" si="5"/>
        <v>0</v>
      </c>
      <c r="T14" s="246">
        <f t="shared" si="6"/>
        <v>0</v>
      </c>
      <c r="U14" s="277">
        <f t="shared" si="1"/>
        <v>0</v>
      </c>
      <c r="V14" s="211">
        <f t="shared" si="2"/>
        <v>0</v>
      </c>
      <c r="W14" s="212">
        <f t="shared" si="7"/>
        <v>0</v>
      </c>
      <c r="X14" s="195">
        <f t="shared" si="8"/>
        <v>0</v>
      </c>
      <c r="Y14" s="19">
        <f t="shared" si="9"/>
        <v>0</v>
      </c>
      <c r="Z14" s="195">
        <f t="shared" si="10"/>
        <v>0</v>
      </c>
      <c r="AA14" s="19">
        <f t="shared" si="11"/>
        <v>0</v>
      </c>
      <c r="AD14" s="285"/>
      <c r="AE14" s="285"/>
    </row>
    <row r="15" spans="1:31" s="11" customFormat="1" ht="25.5">
      <c r="A15" s="84" t="s">
        <v>40</v>
      </c>
      <c r="B15" s="33"/>
      <c r="C15" s="267"/>
      <c r="D15" s="262">
        <f t="shared" si="3"/>
        <v>0</v>
      </c>
      <c r="E15" s="266"/>
      <c r="F15" s="232"/>
      <c r="G15" s="162"/>
      <c r="H15" s="163"/>
      <c r="I15" s="163"/>
      <c r="J15" s="163"/>
      <c r="K15" s="164"/>
      <c r="L15" s="165"/>
      <c r="M15" s="166"/>
      <c r="N15" s="167"/>
      <c r="O15" s="168"/>
      <c r="P15" s="166"/>
      <c r="Q15" s="275">
        <f t="shared" si="4"/>
        <v>0</v>
      </c>
      <c r="R15" s="276">
        <f t="shared" si="0"/>
        <v>0</v>
      </c>
      <c r="S15" s="293">
        <f t="shared" si="5"/>
        <v>0</v>
      </c>
      <c r="T15" s="195">
        <f t="shared" si="6"/>
        <v>0</v>
      </c>
      <c r="U15" s="277">
        <f t="shared" si="1"/>
        <v>0</v>
      </c>
      <c r="V15" s="211">
        <f t="shared" si="2"/>
        <v>0</v>
      </c>
      <c r="W15" s="212">
        <f t="shared" si="7"/>
        <v>0</v>
      </c>
      <c r="X15" s="195">
        <f t="shared" si="8"/>
        <v>0</v>
      </c>
      <c r="Y15" s="19">
        <f t="shared" si="9"/>
        <v>0</v>
      </c>
      <c r="Z15" s="195">
        <f t="shared" si="10"/>
        <v>0</v>
      </c>
      <c r="AA15" s="19">
        <f t="shared" si="11"/>
        <v>0</v>
      </c>
      <c r="AD15" s="285"/>
      <c r="AE15" s="285"/>
    </row>
    <row r="16" spans="1:31" s="11" customFormat="1" ht="12.75">
      <c r="A16" s="85"/>
      <c r="B16" s="34"/>
      <c r="C16" s="267"/>
      <c r="D16" s="262">
        <f t="shared" si="3"/>
        <v>0</v>
      </c>
      <c r="E16" s="266"/>
      <c r="F16" s="232"/>
      <c r="G16" s="162"/>
      <c r="H16" s="163"/>
      <c r="I16" s="163"/>
      <c r="J16" s="163"/>
      <c r="K16" s="164"/>
      <c r="L16" s="165"/>
      <c r="M16" s="166"/>
      <c r="N16" s="167"/>
      <c r="O16" s="168"/>
      <c r="P16" s="166"/>
      <c r="Q16" s="275">
        <f t="shared" si="4"/>
        <v>0</v>
      </c>
      <c r="R16" s="276">
        <f t="shared" si="0"/>
        <v>0</v>
      </c>
      <c r="S16" s="289">
        <f t="shared" si="5"/>
        <v>0</v>
      </c>
      <c r="T16" s="290">
        <f t="shared" si="6"/>
        <v>0</v>
      </c>
      <c r="U16" s="277">
        <f t="shared" si="1"/>
        <v>0</v>
      </c>
      <c r="V16" s="211">
        <f t="shared" si="2"/>
        <v>0</v>
      </c>
      <c r="W16" s="212">
        <f t="shared" si="7"/>
        <v>0</v>
      </c>
      <c r="X16" s="195">
        <f t="shared" si="8"/>
        <v>0</v>
      </c>
      <c r="Y16" s="19">
        <f t="shared" si="9"/>
        <v>0</v>
      </c>
      <c r="Z16" s="195">
        <f t="shared" si="10"/>
        <v>0</v>
      </c>
      <c r="AA16" s="19">
        <f t="shared" si="11"/>
        <v>0</v>
      </c>
      <c r="AD16" s="285"/>
      <c r="AE16" s="285"/>
    </row>
    <row r="17" spans="1:31" s="11" customFormat="1" ht="13.5" thickBot="1">
      <c r="A17" s="86"/>
      <c r="B17" s="35"/>
      <c r="C17" s="267"/>
      <c r="D17" s="262">
        <f t="shared" si="3"/>
        <v>0</v>
      </c>
      <c r="E17" s="266"/>
      <c r="F17" s="232"/>
      <c r="G17" s="162"/>
      <c r="H17" s="163"/>
      <c r="I17" s="163"/>
      <c r="J17" s="163"/>
      <c r="K17" s="164"/>
      <c r="L17" s="165"/>
      <c r="M17" s="166"/>
      <c r="N17" s="167"/>
      <c r="O17" s="168"/>
      <c r="P17" s="166"/>
      <c r="Q17" s="275">
        <f t="shared" si="4"/>
        <v>0</v>
      </c>
      <c r="R17" s="276">
        <f t="shared" si="0"/>
        <v>0</v>
      </c>
      <c r="S17" s="293">
        <f t="shared" si="5"/>
        <v>0</v>
      </c>
      <c r="T17" s="195">
        <f t="shared" si="6"/>
        <v>0</v>
      </c>
      <c r="U17" s="277">
        <f t="shared" si="1"/>
        <v>0</v>
      </c>
      <c r="V17" s="211">
        <f t="shared" si="2"/>
        <v>0</v>
      </c>
      <c r="W17" s="212">
        <f t="shared" si="7"/>
        <v>0</v>
      </c>
      <c r="X17" s="195">
        <f t="shared" si="8"/>
        <v>0</v>
      </c>
      <c r="Y17" s="19">
        <f t="shared" si="9"/>
        <v>0</v>
      </c>
      <c r="Z17" s="195">
        <f t="shared" si="10"/>
        <v>0</v>
      </c>
      <c r="AA17" s="19">
        <f t="shared" si="11"/>
        <v>0</v>
      </c>
      <c r="AD17" s="285"/>
      <c r="AE17" s="285"/>
    </row>
    <row r="18" spans="1:31" s="11" customFormat="1" ht="12.75">
      <c r="A18" s="87" t="s">
        <v>41</v>
      </c>
      <c r="B18" s="33"/>
      <c r="C18" s="267"/>
      <c r="D18" s="262">
        <f t="shared" si="3"/>
        <v>0</v>
      </c>
      <c r="E18" s="266"/>
      <c r="F18" s="232"/>
      <c r="G18" s="162"/>
      <c r="H18" s="163"/>
      <c r="I18" s="163"/>
      <c r="J18" s="163"/>
      <c r="K18" s="164"/>
      <c r="L18" s="165"/>
      <c r="M18" s="166"/>
      <c r="N18" s="167"/>
      <c r="O18" s="168"/>
      <c r="P18" s="166"/>
      <c r="Q18" s="275">
        <f t="shared" si="4"/>
        <v>0</v>
      </c>
      <c r="R18" s="276">
        <f t="shared" si="0"/>
        <v>0</v>
      </c>
      <c r="S18" s="289">
        <f t="shared" si="5"/>
        <v>0</v>
      </c>
      <c r="T18" s="290">
        <f t="shared" si="6"/>
        <v>0</v>
      </c>
      <c r="U18" s="277">
        <f t="shared" si="1"/>
        <v>0</v>
      </c>
      <c r="V18" s="211">
        <f t="shared" si="2"/>
        <v>0</v>
      </c>
      <c r="W18" s="212">
        <f t="shared" si="7"/>
        <v>0</v>
      </c>
      <c r="X18" s="195">
        <f t="shared" si="8"/>
        <v>0</v>
      </c>
      <c r="Y18" s="19">
        <f t="shared" si="9"/>
        <v>0</v>
      </c>
      <c r="Z18" s="195">
        <f t="shared" si="10"/>
        <v>0</v>
      </c>
      <c r="AA18" s="19">
        <f t="shared" si="11"/>
        <v>0</v>
      </c>
      <c r="AD18" s="285"/>
      <c r="AE18" s="285"/>
    </row>
    <row r="19" spans="1:31" s="11" customFormat="1" ht="12.75">
      <c r="A19" s="85"/>
      <c r="B19" s="34"/>
      <c r="C19" s="267"/>
      <c r="D19" s="262">
        <f t="shared" si="3"/>
        <v>0</v>
      </c>
      <c r="E19" s="266"/>
      <c r="F19" s="232"/>
      <c r="G19" s="162"/>
      <c r="H19" s="163"/>
      <c r="I19" s="163"/>
      <c r="J19" s="163"/>
      <c r="K19" s="164"/>
      <c r="L19" s="165"/>
      <c r="M19" s="166"/>
      <c r="N19" s="167"/>
      <c r="O19" s="168"/>
      <c r="P19" s="166"/>
      <c r="Q19" s="275">
        <f t="shared" si="4"/>
        <v>0</v>
      </c>
      <c r="R19" s="276">
        <f t="shared" si="0"/>
        <v>0</v>
      </c>
      <c r="S19" s="292">
        <f t="shared" si="5"/>
        <v>0</v>
      </c>
      <c r="T19" s="246">
        <f t="shared" si="6"/>
        <v>0</v>
      </c>
      <c r="U19" s="277">
        <f t="shared" si="1"/>
        <v>0</v>
      </c>
      <c r="V19" s="211">
        <f t="shared" si="2"/>
        <v>0</v>
      </c>
      <c r="W19" s="212">
        <f t="shared" si="7"/>
        <v>0</v>
      </c>
      <c r="X19" s="195">
        <f t="shared" si="8"/>
        <v>0</v>
      </c>
      <c r="Y19" s="19">
        <f t="shared" si="9"/>
        <v>0</v>
      </c>
      <c r="Z19" s="195">
        <f t="shared" si="10"/>
        <v>0</v>
      </c>
      <c r="AA19" s="19">
        <f t="shared" si="11"/>
        <v>0</v>
      </c>
      <c r="AD19" s="285"/>
      <c r="AE19" s="285"/>
    </row>
    <row r="20" spans="1:31" s="11" customFormat="1" ht="13.5" thickBot="1">
      <c r="A20" s="86"/>
      <c r="B20" s="35"/>
      <c r="C20" s="267"/>
      <c r="D20" s="262">
        <f t="shared" si="3"/>
        <v>0</v>
      </c>
      <c r="E20" s="266"/>
      <c r="F20" s="232"/>
      <c r="G20" s="162"/>
      <c r="H20" s="163"/>
      <c r="I20" s="163"/>
      <c r="J20" s="163"/>
      <c r="K20" s="164"/>
      <c r="L20" s="165"/>
      <c r="M20" s="166"/>
      <c r="N20" s="167"/>
      <c r="O20" s="168"/>
      <c r="P20" s="166"/>
      <c r="Q20" s="275">
        <f t="shared" si="4"/>
        <v>0</v>
      </c>
      <c r="R20" s="276">
        <f t="shared" si="0"/>
        <v>0</v>
      </c>
      <c r="S20" s="293">
        <f t="shared" si="5"/>
        <v>0</v>
      </c>
      <c r="T20" s="195">
        <f t="shared" si="6"/>
        <v>0</v>
      </c>
      <c r="U20" s="277">
        <f t="shared" si="1"/>
        <v>0</v>
      </c>
      <c r="V20" s="211">
        <f t="shared" si="2"/>
        <v>0</v>
      </c>
      <c r="W20" s="212">
        <f t="shared" si="7"/>
        <v>0</v>
      </c>
      <c r="X20" s="195">
        <f t="shared" si="8"/>
        <v>0</v>
      </c>
      <c r="Y20" s="19">
        <f t="shared" si="9"/>
        <v>0</v>
      </c>
      <c r="Z20" s="195">
        <f t="shared" si="10"/>
        <v>0</v>
      </c>
      <c r="AA20" s="19">
        <f t="shared" si="11"/>
        <v>0</v>
      </c>
      <c r="AD20" s="285"/>
      <c r="AE20" s="285"/>
    </row>
    <row r="21" spans="1:31" s="11" customFormat="1" ht="12.75">
      <c r="A21" s="88" t="s">
        <v>42</v>
      </c>
      <c r="B21" s="36"/>
      <c r="C21" s="268"/>
      <c r="D21" s="262">
        <f t="shared" si="3"/>
        <v>0</v>
      </c>
      <c r="E21" s="266"/>
      <c r="F21" s="232"/>
      <c r="G21" s="162"/>
      <c r="H21" s="163"/>
      <c r="I21" s="163"/>
      <c r="J21" s="163"/>
      <c r="K21" s="164"/>
      <c r="L21" s="165"/>
      <c r="M21" s="166"/>
      <c r="N21" s="167"/>
      <c r="O21" s="168"/>
      <c r="P21" s="166"/>
      <c r="Q21" s="275">
        <f t="shared" si="4"/>
        <v>0</v>
      </c>
      <c r="R21" s="276">
        <f t="shared" si="0"/>
        <v>0</v>
      </c>
      <c r="S21" s="289">
        <f t="shared" si="5"/>
        <v>0</v>
      </c>
      <c r="T21" s="290">
        <f t="shared" si="6"/>
        <v>0</v>
      </c>
      <c r="U21" s="277">
        <f t="shared" si="1"/>
        <v>0</v>
      </c>
      <c r="V21" s="211">
        <f t="shared" si="2"/>
        <v>0</v>
      </c>
      <c r="W21" s="212">
        <f t="shared" si="7"/>
        <v>0</v>
      </c>
      <c r="X21" s="195">
        <f t="shared" si="8"/>
        <v>0</v>
      </c>
      <c r="Y21" s="19">
        <f t="shared" si="9"/>
        <v>0</v>
      </c>
      <c r="Z21" s="195">
        <f t="shared" si="10"/>
        <v>0</v>
      </c>
      <c r="AA21" s="19">
        <f t="shared" si="11"/>
        <v>0</v>
      </c>
      <c r="AD21" s="285"/>
      <c r="AE21" s="285"/>
    </row>
    <row r="22" spans="1:31" s="11" customFormat="1" ht="13.5" thickBot="1">
      <c r="A22" s="89"/>
      <c r="B22" s="37"/>
      <c r="C22" s="268"/>
      <c r="D22" s="262">
        <f t="shared" si="3"/>
        <v>0</v>
      </c>
      <c r="E22" s="266"/>
      <c r="F22" s="232"/>
      <c r="G22" s="162"/>
      <c r="H22" s="163"/>
      <c r="I22" s="163"/>
      <c r="J22" s="163"/>
      <c r="K22" s="164"/>
      <c r="L22" s="165"/>
      <c r="M22" s="166"/>
      <c r="N22" s="167"/>
      <c r="O22" s="168"/>
      <c r="P22" s="166"/>
      <c r="Q22" s="275">
        <f t="shared" si="4"/>
        <v>0</v>
      </c>
      <c r="R22" s="276">
        <f t="shared" si="0"/>
        <v>0</v>
      </c>
      <c r="S22" s="293">
        <f t="shared" si="5"/>
        <v>0</v>
      </c>
      <c r="T22" s="195">
        <f t="shared" si="6"/>
        <v>0</v>
      </c>
      <c r="U22" s="277">
        <f t="shared" si="1"/>
        <v>0</v>
      </c>
      <c r="V22" s="211">
        <f t="shared" si="2"/>
        <v>0</v>
      </c>
      <c r="W22" s="212">
        <f t="shared" si="7"/>
        <v>0</v>
      </c>
      <c r="X22" s="195">
        <f t="shared" si="8"/>
        <v>0</v>
      </c>
      <c r="Y22" s="19">
        <f t="shared" si="9"/>
        <v>0</v>
      </c>
      <c r="Z22" s="195">
        <f t="shared" si="10"/>
        <v>0</v>
      </c>
      <c r="AA22" s="19">
        <f t="shared" si="11"/>
        <v>0</v>
      </c>
      <c r="AD22" s="285"/>
      <c r="AE22" s="285"/>
    </row>
    <row r="23" spans="1:31" s="11" customFormat="1" ht="12.75">
      <c r="A23" s="88" t="s">
        <v>183</v>
      </c>
      <c r="B23" s="38"/>
      <c r="C23" s="268"/>
      <c r="D23" s="262">
        <f t="shared" si="3"/>
        <v>0</v>
      </c>
      <c r="E23" s="266"/>
      <c r="F23" s="232"/>
      <c r="G23" s="162"/>
      <c r="H23" s="163"/>
      <c r="I23" s="163"/>
      <c r="J23" s="163"/>
      <c r="K23" s="164"/>
      <c r="L23" s="165"/>
      <c r="M23" s="166"/>
      <c r="N23" s="167"/>
      <c r="O23" s="168"/>
      <c r="P23" s="166"/>
      <c r="Q23" s="275">
        <f t="shared" si="4"/>
        <v>0</v>
      </c>
      <c r="R23" s="276">
        <f t="shared" si="0"/>
        <v>0</v>
      </c>
      <c r="S23" s="289">
        <f t="shared" si="5"/>
        <v>0</v>
      </c>
      <c r="T23" s="290">
        <f t="shared" si="6"/>
        <v>0</v>
      </c>
      <c r="U23" s="277">
        <f t="shared" si="1"/>
        <v>0</v>
      </c>
      <c r="V23" s="211">
        <f t="shared" si="2"/>
        <v>0</v>
      </c>
      <c r="W23" s="212">
        <f t="shared" si="7"/>
        <v>0</v>
      </c>
      <c r="X23" s="195">
        <f t="shared" si="8"/>
        <v>0</v>
      </c>
      <c r="Y23" s="19">
        <f t="shared" si="9"/>
        <v>0</v>
      </c>
      <c r="Z23" s="195">
        <f t="shared" si="10"/>
        <v>0</v>
      </c>
      <c r="AA23" s="19">
        <f t="shared" si="11"/>
        <v>0</v>
      </c>
      <c r="AD23" s="285"/>
      <c r="AE23" s="285"/>
    </row>
    <row r="24" spans="1:31" s="11" customFormat="1" ht="13.5" thickBot="1">
      <c r="A24" s="90"/>
      <c r="B24" s="39"/>
      <c r="C24" s="268"/>
      <c r="D24" s="262">
        <f t="shared" si="3"/>
        <v>0</v>
      </c>
      <c r="E24" s="266"/>
      <c r="F24" s="232"/>
      <c r="G24" s="162"/>
      <c r="H24" s="163"/>
      <c r="I24" s="163"/>
      <c r="J24" s="163"/>
      <c r="K24" s="164"/>
      <c r="L24" s="165"/>
      <c r="M24" s="166"/>
      <c r="N24" s="167"/>
      <c r="O24" s="168"/>
      <c r="P24" s="166"/>
      <c r="Q24" s="275">
        <f t="shared" si="4"/>
        <v>0</v>
      </c>
      <c r="R24" s="276">
        <f t="shared" si="0"/>
        <v>0</v>
      </c>
      <c r="S24" s="293">
        <f t="shared" si="5"/>
        <v>0</v>
      </c>
      <c r="T24" s="195">
        <f t="shared" si="6"/>
        <v>0</v>
      </c>
      <c r="U24" s="277">
        <f t="shared" si="1"/>
        <v>0</v>
      </c>
      <c r="V24" s="211">
        <f t="shared" si="2"/>
        <v>0</v>
      </c>
      <c r="W24" s="212">
        <f t="shared" si="7"/>
        <v>0</v>
      </c>
      <c r="X24" s="195">
        <f t="shared" si="8"/>
        <v>0</v>
      </c>
      <c r="Y24" s="19">
        <f t="shared" si="9"/>
        <v>0</v>
      </c>
      <c r="Z24" s="195">
        <f t="shared" si="10"/>
        <v>0</v>
      </c>
      <c r="AA24" s="19">
        <f t="shared" si="11"/>
        <v>0</v>
      </c>
      <c r="AD24" s="285"/>
      <c r="AE24" s="285"/>
    </row>
    <row r="25" spans="1:31" s="11" customFormat="1" ht="12.75">
      <c r="A25" s="88" t="s">
        <v>183</v>
      </c>
      <c r="B25" s="36"/>
      <c r="C25" s="268"/>
      <c r="D25" s="262">
        <f t="shared" si="3"/>
        <v>0</v>
      </c>
      <c r="E25" s="266"/>
      <c r="F25" s="232"/>
      <c r="G25" s="162"/>
      <c r="H25" s="163"/>
      <c r="I25" s="163"/>
      <c r="J25" s="163"/>
      <c r="K25" s="164"/>
      <c r="L25" s="165"/>
      <c r="M25" s="166"/>
      <c r="N25" s="167"/>
      <c r="O25" s="168"/>
      <c r="P25" s="166"/>
      <c r="Q25" s="275">
        <f t="shared" si="4"/>
        <v>0</v>
      </c>
      <c r="R25" s="276">
        <f t="shared" si="0"/>
        <v>0</v>
      </c>
      <c r="S25" s="289">
        <f t="shared" si="5"/>
        <v>0</v>
      </c>
      <c r="T25" s="290">
        <f t="shared" si="6"/>
        <v>0</v>
      </c>
      <c r="U25" s="277">
        <f t="shared" si="1"/>
        <v>0</v>
      </c>
      <c r="V25" s="211">
        <f t="shared" si="2"/>
        <v>0</v>
      </c>
      <c r="W25" s="212">
        <f t="shared" si="7"/>
        <v>0</v>
      </c>
      <c r="X25" s="195">
        <f t="shared" si="8"/>
        <v>0</v>
      </c>
      <c r="Y25" s="19">
        <f t="shared" si="9"/>
        <v>0</v>
      </c>
      <c r="Z25" s="195">
        <f t="shared" si="10"/>
        <v>0</v>
      </c>
      <c r="AA25" s="19">
        <f t="shared" si="11"/>
        <v>0</v>
      </c>
      <c r="AD25" s="285"/>
      <c r="AE25" s="285"/>
    </row>
    <row r="26" spans="1:31" s="11" customFormat="1" ht="13.5" thickBot="1">
      <c r="A26" s="89"/>
      <c r="B26" s="37"/>
      <c r="C26" s="268"/>
      <c r="D26" s="262">
        <f t="shared" si="3"/>
        <v>0</v>
      </c>
      <c r="E26" s="266"/>
      <c r="F26" s="232"/>
      <c r="G26" s="162"/>
      <c r="H26" s="163"/>
      <c r="I26" s="163"/>
      <c r="J26" s="163"/>
      <c r="K26" s="164"/>
      <c r="L26" s="165"/>
      <c r="M26" s="166"/>
      <c r="N26" s="167"/>
      <c r="O26" s="168"/>
      <c r="P26" s="166"/>
      <c r="Q26" s="275">
        <f t="shared" si="4"/>
        <v>0</v>
      </c>
      <c r="R26" s="276">
        <f t="shared" si="0"/>
        <v>0</v>
      </c>
      <c r="S26" s="293">
        <f t="shared" si="5"/>
        <v>0</v>
      </c>
      <c r="T26" s="195">
        <f t="shared" si="6"/>
        <v>0</v>
      </c>
      <c r="U26" s="277">
        <f t="shared" si="1"/>
        <v>0</v>
      </c>
      <c r="V26" s="211">
        <f t="shared" si="2"/>
        <v>0</v>
      </c>
      <c r="W26" s="212">
        <f t="shared" si="7"/>
        <v>0</v>
      </c>
      <c r="X26" s="195">
        <f t="shared" si="8"/>
        <v>0</v>
      </c>
      <c r="Y26" s="19">
        <f t="shared" si="9"/>
        <v>0</v>
      </c>
      <c r="Z26" s="195">
        <f t="shared" si="10"/>
        <v>0</v>
      </c>
      <c r="AA26" s="19">
        <f t="shared" si="11"/>
        <v>0</v>
      </c>
      <c r="AD26" s="285"/>
      <c r="AE26" s="285"/>
    </row>
    <row r="27" spans="1:31" s="11" customFormat="1" ht="12.75">
      <c r="A27" s="87" t="s">
        <v>34</v>
      </c>
      <c r="B27" s="33"/>
      <c r="C27" s="267"/>
      <c r="D27" s="262">
        <f t="shared" si="3"/>
        <v>0</v>
      </c>
      <c r="E27" s="266"/>
      <c r="F27" s="232"/>
      <c r="G27" s="162"/>
      <c r="H27" s="163"/>
      <c r="I27" s="163"/>
      <c r="J27" s="163"/>
      <c r="K27" s="164"/>
      <c r="L27" s="165"/>
      <c r="M27" s="166"/>
      <c r="N27" s="167"/>
      <c r="O27" s="168"/>
      <c r="P27" s="166"/>
      <c r="Q27" s="275">
        <f t="shared" si="4"/>
        <v>0</v>
      </c>
      <c r="R27" s="276">
        <f t="shared" si="0"/>
        <v>0</v>
      </c>
      <c r="S27" s="291">
        <f t="shared" si="5"/>
        <v>0</v>
      </c>
      <c r="T27" s="199">
        <f t="shared" si="6"/>
        <v>0</v>
      </c>
      <c r="U27" s="277">
        <f t="shared" si="1"/>
        <v>0</v>
      </c>
      <c r="V27" s="211">
        <f t="shared" si="2"/>
        <v>0</v>
      </c>
      <c r="W27" s="212">
        <f t="shared" si="7"/>
        <v>0</v>
      </c>
      <c r="X27" s="195">
        <f t="shared" si="8"/>
        <v>0</v>
      </c>
      <c r="Y27" s="19">
        <f t="shared" si="9"/>
        <v>0</v>
      </c>
      <c r="Z27" s="195">
        <f t="shared" si="10"/>
        <v>0</v>
      </c>
      <c r="AA27" s="19">
        <f t="shared" si="11"/>
        <v>0</v>
      </c>
      <c r="AD27" s="285"/>
      <c r="AE27" s="285"/>
    </row>
    <row r="28" spans="1:31" s="11" customFormat="1" ht="13.5" thickBot="1">
      <c r="A28" s="86"/>
      <c r="B28" s="35"/>
      <c r="C28" s="269"/>
      <c r="D28" s="262">
        <f t="shared" si="3"/>
        <v>0</v>
      </c>
      <c r="E28" s="266"/>
      <c r="F28" s="232"/>
      <c r="G28" s="162"/>
      <c r="H28" s="163"/>
      <c r="I28" s="163"/>
      <c r="J28" s="163"/>
      <c r="K28" s="164"/>
      <c r="L28" s="165"/>
      <c r="M28" s="166"/>
      <c r="N28" s="167"/>
      <c r="O28" s="168"/>
      <c r="P28" s="166"/>
      <c r="Q28" s="275">
        <f t="shared" si="4"/>
        <v>0</v>
      </c>
      <c r="R28" s="276">
        <f t="shared" si="0"/>
        <v>0</v>
      </c>
      <c r="S28" s="291">
        <f t="shared" si="5"/>
        <v>0</v>
      </c>
      <c r="T28" s="199">
        <f t="shared" si="6"/>
        <v>0</v>
      </c>
      <c r="U28" s="277">
        <f t="shared" si="1"/>
        <v>0</v>
      </c>
      <c r="V28" s="211">
        <f t="shared" si="2"/>
        <v>0</v>
      </c>
      <c r="W28" s="212">
        <f t="shared" si="7"/>
        <v>0</v>
      </c>
      <c r="X28" s="195">
        <f t="shared" si="8"/>
        <v>0</v>
      </c>
      <c r="Y28" s="19">
        <f t="shared" si="9"/>
        <v>0</v>
      </c>
      <c r="Z28" s="195">
        <f t="shared" si="10"/>
        <v>0</v>
      </c>
      <c r="AA28" s="19">
        <f t="shared" si="11"/>
        <v>0</v>
      </c>
      <c r="AD28" s="285"/>
      <c r="AE28" s="285"/>
    </row>
    <row r="29" spans="1:31" s="11" customFormat="1" ht="13.5" thickBot="1">
      <c r="A29" s="91" t="s">
        <v>43</v>
      </c>
      <c r="B29" s="40"/>
      <c r="C29" s="269"/>
      <c r="D29" s="264">
        <f t="shared" si="3"/>
        <v>0</v>
      </c>
      <c r="E29" s="270"/>
      <c r="F29" s="233"/>
      <c r="G29" s="170"/>
      <c r="H29" s="171"/>
      <c r="I29" s="171"/>
      <c r="J29" s="171"/>
      <c r="K29" s="172"/>
      <c r="L29" s="173"/>
      <c r="M29" s="174"/>
      <c r="N29" s="175"/>
      <c r="O29" s="176"/>
      <c r="P29" s="174"/>
      <c r="Q29" s="278">
        <f t="shared" si="4"/>
        <v>0</v>
      </c>
      <c r="R29" s="279">
        <f t="shared" si="0"/>
        <v>0</v>
      </c>
      <c r="S29" s="42">
        <f t="shared" si="5"/>
        <v>0</v>
      </c>
      <c r="T29" s="286">
        <f t="shared" si="6"/>
        <v>0</v>
      </c>
      <c r="U29" s="280">
        <f t="shared" si="1"/>
        <v>0</v>
      </c>
      <c r="V29" s="213">
        <f t="shared" si="2"/>
        <v>0</v>
      </c>
      <c r="W29" s="214">
        <f t="shared" si="7"/>
        <v>0</v>
      </c>
      <c r="X29" s="196">
        <f t="shared" si="8"/>
        <v>0</v>
      </c>
      <c r="Y29" s="20">
        <f t="shared" si="9"/>
        <v>0</v>
      </c>
      <c r="Z29" s="246">
        <f t="shared" si="10"/>
        <v>0</v>
      </c>
      <c r="AA29" s="247">
        <f>F29*D29</f>
        <v>0</v>
      </c>
      <c r="AD29" s="285"/>
      <c r="AE29" s="285"/>
    </row>
    <row r="30" spans="1:31" s="11" customFormat="1" ht="13.5" thickBot="1">
      <c r="A30" s="92" t="s">
        <v>124</v>
      </c>
      <c r="B30" s="40"/>
      <c r="C30" s="231">
        <v>0</v>
      </c>
      <c r="D30" s="93"/>
      <c r="E30" s="93"/>
      <c r="F30" s="93"/>
      <c r="G30" s="93"/>
      <c r="H30" s="10"/>
      <c r="O30" s="94" t="s">
        <v>52</v>
      </c>
      <c r="P30" s="95"/>
      <c r="Q30" s="96">
        <f>SUM(Q12:Q29)</f>
        <v>13.431372549019608</v>
      </c>
      <c r="R30" s="97">
        <f>SUM(R12:R29)</f>
        <v>0.016862745098039214</v>
      </c>
      <c r="S30" s="97">
        <f>SUM(S12:S29)</f>
        <v>0.24508275044910754</v>
      </c>
      <c r="T30" s="98">
        <f>SUM(T12:T29)</f>
        <v>0.5514361885104919</v>
      </c>
      <c r="U30" s="98">
        <f>SUM(U12:U29)</f>
        <v>0.1568627450980392</v>
      </c>
      <c r="V30" s="97">
        <f>+SUM(V12:V29)</f>
        <v>1.1720072239422086</v>
      </c>
      <c r="W30" s="97">
        <f>SUM(W12:W29)</f>
        <v>0.7858823529411765</v>
      </c>
      <c r="X30" s="96">
        <f>SUM(X12:X29)</f>
        <v>4750</v>
      </c>
      <c r="Y30" s="203">
        <f>SUM(Y12:Y29)</f>
        <v>750</v>
      </c>
      <c r="Z30" s="263">
        <f>SUM(Z12:Z29)</f>
        <v>32.009803921568626</v>
      </c>
      <c r="AA30" s="99">
        <f>SUM(AA12:AA29)</f>
        <v>0</v>
      </c>
      <c r="AD30" s="102"/>
      <c r="AE30" s="102"/>
    </row>
    <row r="31" spans="1:27" s="11" customFormat="1" ht="20.25" customHeight="1" thickBot="1">
      <c r="A31" s="41" t="s">
        <v>23</v>
      </c>
      <c r="B31" s="100"/>
      <c r="C31" s="101">
        <f>SUM(C12:C30)</f>
        <v>1020</v>
      </c>
      <c r="D31" s="459" t="s">
        <v>123</v>
      </c>
      <c r="E31" s="452"/>
      <c r="F31" s="452"/>
      <c r="G31" s="452"/>
      <c r="H31" s="102"/>
      <c r="I31" s="102"/>
      <c r="J31" s="102"/>
      <c r="K31" s="102"/>
      <c r="L31" s="1"/>
      <c r="S31" s="460" t="s">
        <v>145</v>
      </c>
      <c r="T31" s="435"/>
      <c r="U31" s="435"/>
      <c r="V31" s="435"/>
      <c r="Z31" s="248"/>
      <c r="AA31" s="248"/>
    </row>
    <row r="32" spans="1:5" ht="13.5" thickBot="1">
      <c r="A32" s="2"/>
      <c r="B32" s="2"/>
      <c r="C32" s="2"/>
      <c r="D32" s="2"/>
      <c r="E32" s="2"/>
    </row>
    <row r="33" spans="1:12" s="426" customFormat="1" ht="24" thickBot="1">
      <c r="A33" s="103" t="s">
        <v>10</v>
      </c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</row>
    <row r="34" spans="1:13" s="426" customFormat="1" ht="31.5" customHeight="1" thickBot="1">
      <c r="A34" s="347" t="s">
        <v>83</v>
      </c>
      <c r="B34" s="348"/>
      <c r="C34" s="348"/>
      <c r="D34" s="348"/>
      <c r="E34" s="348"/>
      <c r="F34" s="348"/>
      <c r="G34" s="348"/>
      <c r="H34" s="348"/>
      <c r="I34" s="348"/>
      <c r="J34" s="349"/>
      <c r="K34" s="294"/>
      <c r="L34" s="217"/>
      <c r="M34" s="309"/>
    </row>
    <row r="35" spans="1:13" s="222" customFormat="1" ht="39" thickBot="1">
      <c r="A35" s="454" t="s">
        <v>50</v>
      </c>
      <c r="B35" s="79" t="s">
        <v>27</v>
      </c>
      <c r="C35" s="105" t="s">
        <v>28</v>
      </c>
      <c r="D35" s="105" t="s">
        <v>29</v>
      </c>
      <c r="E35" s="105" t="s">
        <v>30</v>
      </c>
      <c r="F35" s="106" t="s">
        <v>12</v>
      </c>
      <c r="G35" s="106" t="s">
        <v>70</v>
      </c>
      <c r="H35" s="107" t="s">
        <v>13</v>
      </c>
      <c r="I35" s="107" t="s">
        <v>68</v>
      </c>
      <c r="J35" s="108" t="s">
        <v>71</v>
      </c>
      <c r="K35" s="73" t="s">
        <v>139</v>
      </c>
      <c r="L35" s="202" t="s">
        <v>193</v>
      </c>
      <c r="M35" s="296"/>
    </row>
    <row r="36" spans="1:13" s="222" customFormat="1" ht="12.75">
      <c r="A36" s="455" t="s">
        <v>101</v>
      </c>
      <c r="B36" s="178">
        <v>2.1</v>
      </c>
      <c r="C36" s="444">
        <v>0.003</v>
      </c>
      <c r="D36" s="179">
        <v>0.3</v>
      </c>
      <c r="E36" s="180">
        <v>0.65</v>
      </c>
      <c r="F36" s="445">
        <v>1930</v>
      </c>
      <c r="G36" s="446">
        <v>1800</v>
      </c>
      <c r="H36" s="447">
        <v>1400</v>
      </c>
      <c r="I36" s="447"/>
      <c r="J36" s="448">
        <v>1030</v>
      </c>
      <c r="K36" s="285">
        <f>IF(I36=0,D36,D36-((2*$I36)/(2*$I36+($F36-1.25*$I36)))*D36)</f>
        <v>0.3</v>
      </c>
      <c r="L36" s="295">
        <f>IF(I36=0,E36,E36-((2*$I36)/(2*$I36+($F36-1.25*$I36)))*E36)</f>
        <v>0.65</v>
      </c>
      <c r="M36" s="424"/>
    </row>
    <row r="37" spans="1:13" s="222" customFormat="1" ht="13.5" thickBot="1">
      <c r="A37" s="453"/>
      <c r="B37" s="181"/>
      <c r="C37" s="304"/>
      <c r="D37" s="182"/>
      <c r="E37" s="183"/>
      <c r="F37" s="170"/>
      <c r="G37" s="305"/>
      <c r="H37" s="171"/>
      <c r="I37" s="171"/>
      <c r="J37" s="302"/>
      <c r="K37" s="449">
        <f>IF(I37=0,D37,D37-((2*$I37)/(2*$I37+($F37-1.25*$I37)))*D37)</f>
        <v>0</v>
      </c>
      <c r="L37" s="450">
        <f>IF(I37=0,E37,E37-((2*$I37)/(2*$I37+($F37-1.25*$I37)))*E37)</f>
        <v>0</v>
      </c>
      <c r="M37" s="424"/>
    </row>
    <row r="38" spans="1:13" s="222" customFormat="1" ht="13.5" thickBot="1">
      <c r="A38" s="109" t="s">
        <v>51</v>
      </c>
      <c r="B38" s="110">
        <f>SUM(B36:B37)</f>
        <v>2.1</v>
      </c>
      <c r="C38" s="306">
        <f>SUM(C36:C37)</f>
        <v>0.003</v>
      </c>
      <c r="D38" s="111">
        <f>SUM(D36:D37)</f>
        <v>0.3</v>
      </c>
      <c r="E38" s="112">
        <f>SUM(E36:E37)</f>
        <v>0.65</v>
      </c>
      <c r="F38" s="249">
        <f>SUM(F36:F37)</f>
        <v>1930</v>
      </c>
      <c r="G38" s="250">
        <f>SUM(G36:G37)</f>
        <v>1800</v>
      </c>
      <c r="H38" s="250">
        <f>SUM(H36:H37)</f>
        <v>1400</v>
      </c>
      <c r="I38" s="250">
        <f>SUM(I36:I37)</f>
        <v>0</v>
      </c>
      <c r="J38" s="251">
        <f>SUM(J36:J37)</f>
        <v>1030</v>
      </c>
      <c r="K38" s="99">
        <f>SUM(K36:K37)</f>
        <v>0.3</v>
      </c>
      <c r="L38" s="99">
        <f>SUM(L36:L37)</f>
        <v>0.65</v>
      </c>
      <c r="M38" s="424"/>
    </row>
    <row r="39" spans="1:13" s="222" customFormat="1" ht="15.75" customHeight="1" thickBot="1">
      <c r="A39" s="3"/>
      <c r="B39" s="424"/>
      <c r="C39" s="424"/>
      <c r="D39" s="424"/>
      <c r="E39" s="424"/>
      <c r="J39" s="451" t="s">
        <v>145</v>
      </c>
      <c r="K39" s="452"/>
      <c r="L39" s="452"/>
      <c r="M39" s="452"/>
    </row>
    <row r="40" spans="1:5" ht="24" thickBot="1">
      <c r="A40" s="103" t="s">
        <v>11</v>
      </c>
      <c r="B40" s="2"/>
      <c r="C40" s="2"/>
      <c r="D40" s="2"/>
      <c r="E40" s="2"/>
    </row>
    <row r="41" spans="1:7" ht="24" thickBot="1">
      <c r="A41" s="104" t="s">
        <v>87</v>
      </c>
      <c r="B41" s="113"/>
      <c r="C41" s="113"/>
      <c r="D41" s="113"/>
      <c r="E41" s="114"/>
      <c r="G41" s="11"/>
    </row>
    <row r="42" spans="1:8" ht="15" thickBot="1">
      <c r="A42" s="115"/>
      <c r="B42" s="67" t="s">
        <v>119</v>
      </c>
      <c r="C42" s="67" t="s">
        <v>120</v>
      </c>
      <c r="D42" s="67" t="s">
        <v>121</v>
      </c>
      <c r="E42" s="68" t="s">
        <v>95</v>
      </c>
      <c r="G42" s="296"/>
      <c r="H42" s="296"/>
    </row>
    <row r="43" spans="1:8" ht="28.5" customHeight="1" thickBot="1">
      <c r="A43" s="116" t="s">
        <v>53</v>
      </c>
      <c r="B43" s="21">
        <f>Q30+B38</f>
        <v>15.531372549019608</v>
      </c>
      <c r="C43" s="6">
        <f>R30+C38</f>
        <v>0.019862745098039213</v>
      </c>
      <c r="D43" s="6">
        <f>S30+K38</f>
        <v>0.5450827504491076</v>
      </c>
      <c r="E43" s="7">
        <f>T30+L38</f>
        <v>1.2014361885104918</v>
      </c>
      <c r="G43" s="230"/>
      <c r="H43" s="230"/>
    </row>
    <row r="44" spans="1:6" ht="24" thickBot="1">
      <c r="A44" s="5"/>
      <c r="B44" s="2"/>
      <c r="C44" s="2"/>
      <c r="D44" s="2"/>
      <c r="E44" s="2"/>
      <c r="F44" s="2"/>
    </row>
    <row r="45" spans="1:6" ht="24" thickBot="1">
      <c r="A45" s="117" t="s">
        <v>19</v>
      </c>
      <c r="B45" s="2"/>
      <c r="C45" s="2"/>
      <c r="D45" s="2"/>
      <c r="E45" s="2"/>
      <c r="F45" s="2"/>
    </row>
    <row r="46" spans="1:8" ht="24" thickBot="1">
      <c r="A46" s="118" t="s">
        <v>48</v>
      </c>
      <c r="B46" s="119"/>
      <c r="C46" s="120"/>
      <c r="D46" s="120"/>
      <c r="E46" s="120"/>
      <c r="F46" s="120"/>
      <c r="G46" s="218"/>
      <c r="H46" s="90"/>
    </row>
    <row r="47" spans="1:10" ht="27.75" customHeight="1" thickBot="1">
      <c r="A47" s="376"/>
      <c r="B47" s="377"/>
      <c r="C47" s="378" t="s">
        <v>25</v>
      </c>
      <c r="D47" s="379"/>
      <c r="E47" s="379"/>
      <c r="F47" s="379"/>
      <c r="G47" s="433" t="s">
        <v>103</v>
      </c>
      <c r="H47" s="308"/>
      <c r="I47" s="4"/>
      <c r="J47" s="4"/>
    </row>
    <row r="48" spans="1:13" ht="26.25" thickBot="1">
      <c r="A48" s="382" t="s">
        <v>49</v>
      </c>
      <c r="B48" s="383"/>
      <c r="C48" s="215" t="s">
        <v>45</v>
      </c>
      <c r="D48" s="215" t="s">
        <v>46</v>
      </c>
      <c r="E48" s="215" t="s">
        <v>47</v>
      </c>
      <c r="F48" s="216" t="s">
        <v>127</v>
      </c>
      <c r="G48" s="122" t="s">
        <v>67</v>
      </c>
      <c r="H48" s="436"/>
      <c r="I48" s="8"/>
      <c r="J48" s="8"/>
      <c r="K48" s="8"/>
      <c r="L48" s="8"/>
      <c r="M48" s="8"/>
    </row>
    <row r="49" spans="1:13" ht="25.5" customHeight="1">
      <c r="A49" s="380" t="s">
        <v>39</v>
      </c>
      <c r="B49" s="381"/>
      <c r="C49" s="123">
        <v>18</v>
      </c>
      <c r="D49" s="124">
        <v>0.03</v>
      </c>
      <c r="E49" s="123">
        <v>0.6</v>
      </c>
      <c r="F49" s="124">
        <v>1.5</v>
      </c>
      <c r="G49" s="281">
        <f>(D12+D13+D14)*100</f>
        <v>100</v>
      </c>
      <c r="H49" s="437"/>
      <c r="I49" s="373"/>
      <c r="J49" s="373"/>
      <c r="L49" s="4"/>
      <c r="M49" s="4"/>
    </row>
    <row r="50" spans="1:8" ht="12.75">
      <c r="A50" s="354" t="s">
        <v>40</v>
      </c>
      <c r="B50" s="355"/>
      <c r="C50" s="126">
        <v>25</v>
      </c>
      <c r="D50" s="127">
        <v>0.03</v>
      </c>
      <c r="E50" s="126">
        <v>0.6</v>
      </c>
      <c r="F50" s="127">
        <v>1.5</v>
      </c>
      <c r="G50" s="128">
        <f>(D15+D16+D17)*100</f>
        <v>0</v>
      </c>
      <c r="H50" s="438"/>
    </row>
    <row r="51" spans="1:8" ht="12.75">
      <c r="A51" s="354" t="s">
        <v>41</v>
      </c>
      <c r="B51" s="355"/>
      <c r="C51" s="126">
        <v>10</v>
      </c>
      <c r="D51" s="127">
        <v>0.02</v>
      </c>
      <c r="E51" s="126">
        <v>0.6</v>
      </c>
      <c r="F51" s="127">
        <v>1.5</v>
      </c>
      <c r="G51" s="128">
        <f>(D18+D19+D20)*100</f>
        <v>0</v>
      </c>
      <c r="H51" s="438"/>
    </row>
    <row r="52" spans="1:8" ht="12.75">
      <c r="A52" s="354" t="s">
        <v>42</v>
      </c>
      <c r="B52" s="355"/>
      <c r="C52" s="126">
        <v>15</v>
      </c>
      <c r="D52" s="127">
        <v>0.01</v>
      </c>
      <c r="E52" s="126">
        <v>0.2</v>
      </c>
      <c r="F52" s="127">
        <v>0.25</v>
      </c>
      <c r="G52" s="128">
        <f>(D21+D22)*100</f>
        <v>0</v>
      </c>
      <c r="H52" s="438"/>
    </row>
    <row r="53" spans="1:8" ht="12.75">
      <c r="A53" s="354" t="s">
        <v>35</v>
      </c>
      <c r="B53" s="355"/>
      <c r="C53" s="126">
        <v>3</v>
      </c>
      <c r="D53" s="127">
        <v>0.01</v>
      </c>
      <c r="E53" s="126">
        <v>0.2</v>
      </c>
      <c r="F53" s="127">
        <v>0.25</v>
      </c>
      <c r="G53" s="128">
        <f>(D23+D24)*100</f>
        <v>0</v>
      </c>
      <c r="H53" s="438"/>
    </row>
    <row r="54" spans="1:8" ht="12.75">
      <c r="A54" s="354" t="s">
        <v>36</v>
      </c>
      <c r="B54" s="355"/>
      <c r="C54" s="126">
        <v>3</v>
      </c>
      <c r="D54" s="127">
        <v>0.01</v>
      </c>
      <c r="E54" s="126">
        <v>0.2</v>
      </c>
      <c r="F54" s="127">
        <v>0.25</v>
      </c>
      <c r="G54" s="128">
        <f>(D25+D26)*100</f>
        <v>0</v>
      </c>
      <c r="H54" s="438"/>
    </row>
    <row r="55" spans="1:8" ht="12.75">
      <c r="A55" s="354" t="s">
        <v>34</v>
      </c>
      <c r="B55" s="355"/>
      <c r="C55" s="126">
        <v>3</v>
      </c>
      <c r="D55" s="127">
        <v>0.01</v>
      </c>
      <c r="E55" s="126">
        <v>0.2</v>
      </c>
      <c r="F55" s="127">
        <v>0.25</v>
      </c>
      <c r="G55" s="128">
        <f>(D27+D28)*100</f>
        <v>0</v>
      </c>
      <c r="H55" s="438"/>
    </row>
    <row r="56" spans="1:8" ht="12.75">
      <c r="A56" s="129" t="s">
        <v>17</v>
      </c>
      <c r="B56" s="130"/>
      <c r="C56" s="131"/>
      <c r="D56" s="132"/>
      <c r="E56" s="131"/>
      <c r="F56" s="132"/>
      <c r="G56" s="441">
        <f>+(C31-C30)/10</f>
        <v>102</v>
      </c>
      <c r="H56" s="438"/>
    </row>
    <row r="57" spans="1:10" ht="12.75">
      <c r="A57" s="442" t="s">
        <v>37</v>
      </c>
      <c r="B57" s="125"/>
      <c r="C57" s="126"/>
      <c r="D57" s="127"/>
      <c r="E57" s="126"/>
      <c r="F57" s="127"/>
      <c r="G57" s="443"/>
      <c r="H57" s="439"/>
      <c r="I57" s="440"/>
      <c r="J57" s="440"/>
    </row>
    <row r="58" spans="1:10" ht="13.5" thickBot="1">
      <c r="A58" s="133"/>
      <c r="B58" s="299" t="s">
        <v>38</v>
      </c>
      <c r="C58" s="300">
        <v>1.5</v>
      </c>
      <c r="D58" s="301">
        <v>0.01</v>
      </c>
      <c r="E58" s="300">
        <v>0.2</v>
      </c>
      <c r="F58" s="301">
        <v>0.5</v>
      </c>
      <c r="G58" s="302">
        <v>100</v>
      </c>
      <c r="H58" s="439"/>
      <c r="I58" s="440"/>
      <c r="J58" s="440"/>
    </row>
    <row r="59" spans="1:6" ht="13.5" thickBot="1">
      <c r="A59" s="2"/>
      <c r="B59" s="2"/>
      <c r="C59" s="2"/>
      <c r="D59" s="2"/>
      <c r="E59" s="3"/>
      <c r="F59" s="2"/>
    </row>
    <row r="60" spans="1:6" ht="24" thickBot="1">
      <c r="A60" s="117" t="s">
        <v>20</v>
      </c>
      <c r="B60" s="2"/>
      <c r="C60" s="2"/>
      <c r="D60" s="2"/>
      <c r="E60" s="2"/>
      <c r="F60" s="2"/>
    </row>
    <row r="61" spans="1:9" ht="24" thickBot="1">
      <c r="A61" s="118" t="s">
        <v>63</v>
      </c>
      <c r="B61" s="119"/>
      <c r="C61" s="120"/>
      <c r="D61" s="120"/>
      <c r="E61" s="120"/>
      <c r="F61" s="222"/>
      <c r="G61" s="222"/>
      <c r="H61" s="222"/>
      <c r="I61" s="222"/>
    </row>
    <row r="62" spans="1:9" ht="34.5" customHeight="1" thickBot="1">
      <c r="A62" s="66"/>
      <c r="B62" s="185" t="s">
        <v>104</v>
      </c>
      <c r="C62" s="185" t="s">
        <v>105</v>
      </c>
      <c r="D62" s="185" t="s">
        <v>106</v>
      </c>
      <c r="E62" s="185" t="s">
        <v>107</v>
      </c>
      <c r="F62" s="434"/>
      <c r="G62" s="393"/>
      <c r="H62" s="393"/>
      <c r="I62" s="393"/>
    </row>
    <row r="63" spans="1:10" ht="42" customHeight="1" thickBot="1">
      <c r="A63" s="427" t="s">
        <v>53</v>
      </c>
      <c r="B63" s="6">
        <f>(C49*$G$49+C50*$G$50+C51*$G$51+C52*$G$52+C53*$G$53+C54*$G$54+C55*$G$55+C57*$G$57+C58*$G$58)/100</f>
        <v>19.5</v>
      </c>
      <c r="C63" s="6">
        <f>(D49*$G$49+D50*$G$50+D51*$G$51+D52*$G$52+D53*$G$53+D54*$G$54+D55*$G$55+D57*$G$57+D58*$G$58)/100</f>
        <v>0.04</v>
      </c>
      <c r="D63" s="6">
        <f>(E49*$G$49+E50*$G$50+E51*$G$51+E52*$G$52+E53*$G$53+E54*$G$54+E55*$G$55+E57*$G$57+E58*$G$58)/100</f>
        <v>0.8</v>
      </c>
      <c r="E63" s="7">
        <f>(F49*$G$49+F50*$G$50+F51*$G$51+F52*$G$52+F53*$G$53+F54*$G$54+F55*$G$55+F57*$G$57+F58*$G$58)/100</f>
        <v>2</v>
      </c>
      <c r="F63" s="424"/>
      <c r="G63" s="389"/>
      <c r="H63" s="389"/>
      <c r="I63" s="389"/>
      <c r="J63" s="219"/>
    </row>
    <row r="64" spans="1:10" ht="12" customHeight="1" thickBot="1">
      <c r="A64" s="423"/>
      <c r="B64" s="424"/>
      <c r="C64" s="424"/>
      <c r="D64" s="424"/>
      <c r="E64" s="424"/>
      <c r="F64" s="424"/>
      <c r="G64" s="307"/>
      <c r="H64" s="307"/>
      <c r="I64" s="307"/>
      <c r="J64" s="219"/>
    </row>
    <row r="65" spans="1:10" ht="23.25" customHeight="1" thickBot="1">
      <c r="A65" s="428" t="s">
        <v>21</v>
      </c>
      <c r="C65" s="424"/>
      <c r="D65" s="424"/>
      <c r="E65" s="424"/>
      <c r="F65" s="424"/>
      <c r="G65" s="307"/>
      <c r="H65" s="307"/>
      <c r="I65" s="307"/>
      <c r="J65" s="219"/>
    </row>
    <row r="66" spans="1:10" ht="22.5" customHeight="1">
      <c r="A66" s="186" t="s">
        <v>191</v>
      </c>
      <c r="B66" s="430">
        <v>0.17</v>
      </c>
      <c r="C66" s="424"/>
      <c r="D66" s="424"/>
      <c r="E66" s="424"/>
      <c r="F66" s="424"/>
      <c r="G66" s="307"/>
      <c r="H66" s="307"/>
      <c r="I66" s="307"/>
      <c r="J66" s="219"/>
    </row>
    <row r="67" spans="1:10" ht="24" customHeight="1" thickBot="1">
      <c r="A67" s="431" t="s">
        <v>192</v>
      </c>
      <c r="B67" s="432" t="b">
        <f>B66&gt;U30</f>
        <v>1</v>
      </c>
      <c r="C67" s="424"/>
      <c r="D67" s="424"/>
      <c r="E67" s="424"/>
      <c r="F67" s="424"/>
      <c r="G67" s="307"/>
      <c r="H67" s="307"/>
      <c r="I67" s="307"/>
      <c r="J67" s="219"/>
    </row>
    <row r="68" spans="1:9" s="138" customFormat="1" ht="12.75">
      <c r="A68" s="137"/>
      <c r="B68" s="1"/>
      <c r="C68" s="1"/>
      <c r="D68" s="1"/>
      <c r="E68" s="1"/>
      <c r="F68" s="392"/>
      <c r="G68" s="392"/>
      <c r="H68" s="392"/>
      <c r="I68" s="392"/>
    </row>
    <row r="69" spans="1:9" s="138" customFormat="1" ht="13.5" thickBot="1">
      <c r="A69" s="137"/>
      <c r="B69" s="1"/>
      <c r="C69" s="1"/>
      <c r="D69" s="1"/>
      <c r="E69" s="1"/>
      <c r="F69" s="136"/>
      <c r="G69" s="136"/>
      <c r="H69" s="136"/>
      <c r="I69" s="136"/>
    </row>
    <row r="70" spans="1:8" s="138" customFormat="1" ht="27" customHeight="1" thickBot="1">
      <c r="A70" s="184" t="s">
        <v>22</v>
      </c>
      <c r="B70" s="188" t="s">
        <v>109</v>
      </c>
      <c r="C70" s="189" t="s">
        <v>110</v>
      </c>
      <c r="D70" s="1"/>
      <c r="E70" s="136"/>
      <c r="F70" s="136"/>
      <c r="G70" s="136"/>
      <c r="H70" s="136"/>
    </row>
    <row r="71" spans="1:7" s="138" customFormat="1" ht="15.75">
      <c r="A71" s="186" t="s">
        <v>113</v>
      </c>
      <c r="B71" s="190">
        <f>Z30</f>
        <v>32.009803921568626</v>
      </c>
      <c r="C71" s="282" t="s">
        <v>129</v>
      </c>
      <c r="D71" s="136"/>
      <c r="E71" s="136"/>
      <c r="F71" s="136"/>
      <c r="G71" s="136"/>
    </row>
    <row r="72" spans="1:7" s="138" customFormat="1" ht="15.75">
      <c r="A72" s="187" t="s">
        <v>108</v>
      </c>
      <c r="B72" s="191">
        <f>AA30</f>
        <v>0</v>
      </c>
      <c r="C72" s="193" t="s">
        <v>112</v>
      </c>
      <c r="D72" s="136"/>
      <c r="E72" s="136"/>
      <c r="F72" s="136"/>
      <c r="G72" s="136"/>
    </row>
    <row r="73" spans="1:10" s="138" customFormat="1" ht="15.75" customHeight="1">
      <c r="A73" s="187" t="s">
        <v>138</v>
      </c>
      <c r="B73" s="283">
        <f>30-(0.4*B72)</f>
        <v>30</v>
      </c>
      <c r="C73" s="193" t="s">
        <v>111</v>
      </c>
      <c r="D73" s="388" t="s">
        <v>190</v>
      </c>
      <c r="E73" s="389"/>
      <c r="F73" s="389"/>
      <c r="G73" s="389"/>
      <c r="H73" s="389"/>
      <c r="I73" s="389"/>
      <c r="J73" s="389"/>
    </row>
    <row r="74" spans="1:7" s="138" customFormat="1" ht="18.75" thickBot="1">
      <c r="A74" s="429" t="s">
        <v>0</v>
      </c>
      <c r="B74" s="192"/>
      <c r="C74" s="194" t="b">
        <f>B71&gt;B73</f>
        <v>1</v>
      </c>
      <c r="D74" s="136"/>
      <c r="E74" s="136"/>
      <c r="F74" s="136"/>
      <c r="G74" s="136"/>
    </row>
    <row r="75" spans="1:9" s="138" customFormat="1" ht="13.5" thickBot="1">
      <c r="A75" s="137"/>
      <c r="B75" s="1"/>
      <c r="C75" s="1"/>
      <c r="D75" s="1"/>
      <c r="E75" s="1"/>
      <c r="F75" s="136"/>
      <c r="G75" s="136"/>
      <c r="H75" s="136"/>
      <c r="I75" s="136"/>
    </row>
    <row r="76" ht="24" thickBot="1">
      <c r="A76" s="117" t="s">
        <v>18</v>
      </c>
    </row>
    <row r="77" spans="1:4" ht="24" thickBot="1">
      <c r="A77" s="118" t="s">
        <v>128</v>
      </c>
      <c r="B77" s="140"/>
      <c r="C77" s="140"/>
      <c r="D77" s="121"/>
    </row>
    <row r="78" spans="1:4" ht="24" thickBot="1">
      <c r="A78" s="422"/>
      <c r="B78" s="134" t="s">
        <v>96</v>
      </c>
      <c r="C78" s="134" t="s">
        <v>32</v>
      </c>
      <c r="D78" s="417" t="s">
        <v>26</v>
      </c>
    </row>
    <row r="79" spans="1:4" ht="31.5" customHeight="1">
      <c r="A79" s="141" t="s">
        <v>97</v>
      </c>
      <c r="B79" s="142">
        <f>IF(B63=0,0,+B43/B63)</f>
        <v>0.796480643539467</v>
      </c>
      <c r="C79" s="143">
        <v>1.5</v>
      </c>
      <c r="D79" s="144" t="b">
        <f>B79&lt;C79</f>
        <v>1</v>
      </c>
    </row>
    <row r="80" spans="1:4" ht="21">
      <c r="A80" s="145" t="s">
        <v>98</v>
      </c>
      <c r="B80" s="146">
        <f>IF(C63=0,0,+C43/C63)</f>
        <v>0.49656862745098035</v>
      </c>
      <c r="C80" s="147">
        <v>1.5</v>
      </c>
      <c r="D80" s="148" t="b">
        <f>B80&lt;C80</f>
        <v>1</v>
      </c>
    </row>
    <row r="81" spans="1:6" ht="21">
      <c r="A81" s="145" t="s">
        <v>99</v>
      </c>
      <c r="B81" s="146">
        <f>IF(D63=0,0,+D43/D63)</f>
        <v>0.6813534380613845</v>
      </c>
      <c r="C81" s="147">
        <v>1.5</v>
      </c>
      <c r="D81" s="148" t="b">
        <f>B81&lt;C81</f>
        <v>1</v>
      </c>
      <c r="F81" s="11" t="s">
        <v>140</v>
      </c>
    </row>
    <row r="82" spans="1:4" ht="21">
      <c r="A82" s="145" t="s">
        <v>100</v>
      </c>
      <c r="B82" s="146">
        <f>IF(E63=0,0,+E43/E63)</f>
        <v>0.6007180942552459</v>
      </c>
      <c r="C82" s="147">
        <v>1.5</v>
      </c>
      <c r="D82" s="148" t="b">
        <f>B82&lt;C82</f>
        <v>1</v>
      </c>
    </row>
    <row r="83" spans="1:4" ht="21.75" thickBot="1">
      <c r="A83" s="149" t="s">
        <v>44</v>
      </c>
      <c r="B83" s="150">
        <f>SUM(B79:B82)</f>
        <v>2.575120803307078</v>
      </c>
      <c r="C83" s="284">
        <v>4</v>
      </c>
      <c r="D83" s="151" t="b">
        <f>B83&lt;C83</f>
        <v>1</v>
      </c>
    </row>
    <row r="84" ht="13.5" thickBot="1"/>
    <row r="85" ht="24" thickBot="1">
      <c r="A85" s="152" t="s">
        <v>188</v>
      </c>
    </row>
    <row r="86" spans="1:8" ht="32.25" customHeight="1" thickBot="1">
      <c r="A86" s="118" t="s">
        <v>14</v>
      </c>
      <c r="B86" s="140"/>
      <c r="C86" s="140"/>
      <c r="D86" s="121"/>
      <c r="E86" s="415" t="s">
        <v>125</v>
      </c>
      <c r="F86" s="416"/>
      <c r="G86" s="416"/>
      <c r="H86" s="416"/>
    </row>
    <row r="87" spans="1:8" ht="27" customHeight="1" thickBot="1">
      <c r="A87" s="398"/>
      <c r="B87" s="397" t="s">
        <v>96</v>
      </c>
      <c r="C87" s="397" t="s">
        <v>32</v>
      </c>
      <c r="D87" s="397" t="s">
        <v>26</v>
      </c>
      <c r="E87" s="253"/>
      <c r="F87" s="252"/>
      <c r="G87" s="252"/>
      <c r="H87" s="252"/>
    </row>
    <row r="88" spans="1:4" ht="21">
      <c r="A88" s="153" t="s">
        <v>80</v>
      </c>
      <c r="B88" s="154">
        <f>IF(J38=0,0,+H38/J38)</f>
        <v>1.3592233009708738</v>
      </c>
      <c r="C88" s="155"/>
      <c r="D88" s="144"/>
    </row>
    <row r="89" spans="1:4" ht="21">
      <c r="A89" s="156" t="s">
        <v>81</v>
      </c>
      <c r="B89" s="157">
        <f>IF(G38=0,0,+(F38-1.25*I38)/G38)</f>
        <v>1.0722222222222222</v>
      </c>
      <c r="C89" s="158"/>
      <c r="D89" s="148"/>
    </row>
    <row r="90" spans="1:4" ht="21">
      <c r="A90" s="156" t="s">
        <v>88</v>
      </c>
      <c r="B90" s="157">
        <f>+W30</f>
        <v>0.7858823529411765</v>
      </c>
      <c r="C90" s="158"/>
      <c r="D90" s="148"/>
    </row>
    <row r="91" spans="1:4" ht="21">
      <c r="A91" s="156" t="s">
        <v>89</v>
      </c>
      <c r="B91" s="157">
        <f>+V30</f>
        <v>1.1720072239422086</v>
      </c>
      <c r="C91" s="158"/>
      <c r="D91" s="148"/>
    </row>
    <row r="92" spans="1:4" ht="18">
      <c r="A92" s="156"/>
      <c r="B92" s="157"/>
      <c r="C92" s="158"/>
      <c r="D92" s="148"/>
    </row>
    <row r="93" spans="1:4" ht="21">
      <c r="A93" s="156" t="s">
        <v>90</v>
      </c>
      <c r="B93" s="157">
        <f>IF(J38=0,0,+Y30/(Y30+J38))</f>
        <v>0.42134831460674155</v>
      </c>
      <c r="C93" s="158"/>
      <c r="D93" s="148"/>
    </row>
    <row r="94" spans="1:4" ht="21">
      <c r="A94" s="156" t="s">
        <v>91</v>
      </c>
      <c r="B94" s="157">
        <f>IF(J38=0,0,+J38/(J38+Y30))</f>
        <v>0.5786516853932584</v>
      </c>
      <c r="C94" s="158"/>
      <c r="D94" s="148"/>
    </row>
    <row r="95" spans="1:4" ht="21.75" thickBot="1">
      <c r="A95" s="156" t="s">
        <v>79</v>
      </c>
      <c r="B95" s="157">
        <f>+B93*B90+B94*B88</f>
        <v>1.1176470588235294</v>
      </c>
      <c r="C95" s="284">
        <v>1.15</v>
      </c>
      <c r="D95" s="148" t="b">
        <f>B95&lt;C95</f>
        <v>1</v>
      </c>
    </row>
    <row r="96" spans="1:4" ht="18">
      <c r="A96" s="156"/>
      <c r="B96" s="157"/>
      <c r="C96" s="158"/>
      <c r="D96" s="148"/>
    </row>
    <row r="97" spans="1:4" ht="21">
      <c r="A97" s="156" t="s">
        <v>92</v>
      </c>
      <c r="B97" s="157">
        <f>IF(G38=0,0,+X30/(X30+G38))</f>
        <v>0.7251908396946565</v>
      </c>
      <c r="C97" s="158"/>
      <c r="D97" s="148"/>
    </row>
    <row r="98" spans="1:4" ht="21">
      <c r="A98" s="156" t="s">
        <v>93</v>
      </c>
      <c r="B98" s="157">
        <f>IF(G38=0,0,+G38/(G38+X30))</f>
        <v>0.2748091603053435</v>
      </c>
      <c r="C98" s="158"/>
      <c r="D98" s="148"/>
    </row>
    <row r="99" spans="1:4" ht="21.75" thickBot="1">
      <c r="A99" s="156" t="s">
        <v>94</v>
      </c>
      <c r="B99" s="157">
        <f>+B97*B91+B98*B89</f>
        <v>1.144585391408472</v>
      </c>
      <c r="C99" s="284">
        <v>1.15</v>
      </c>
      <c r="D99" s="148" t="b">
        <f>B99&lt;C99</f>
        <v>1</v>
      </c>
    </row>
    <row r="100" spans="1:4" ht="18.75" thickBot="1">
      <c r="A100" s="220"/>
      <c r="B100" s="221"/>
      <c r="C100" s="10"/>
      <c r="D100" s="177"/>
    </row>
    <row r="101" spans="1:5" ht="24.75" customHeight="1" thickBot="1" thickTop="1">
      <c r="A101" s="254" t="s">
        <v>184</v>
      </c>
      <c r="B101" s="221"/>
      <c r="C101" s="10"/>
      <c r="D101" s="177"/>
      <c r="E101" s="10"/>
    </row>
    <row r="102" spans="1:5" ht="30" customHeight="1" thickBot="1" thickTop="1">
      <c r="A102" s="228" t="s">
        <v>130</v>
      </c>
      <c r="B102" s="227"/>
      <c r="C102" s="227"/>
      <c r="D102" s="325"/>
      <c r="E102" s="10"/>
    </row>
    <row r="103" spans="1:4" ht="39" thickBot="1">
      <c r="A103" s="418" t="s">
        <v>58</v>
      </c>
      <c r="B103" s="419" t="s">
        <v>33</v>
      </c>
      <c r="C103" s="420" t="s">
        <v>65</v>
      </c>
      <c r="D103" s="421" t="s">
        <v>133</v>
      </c>
    </row>
    <row r="104" spans="1:4" ht="30.75" customHeight="1">
      <c r="A104" s="412" t="s">
        <v>131</v>
      </c>
      <c r="B104" s="236" t="s">
        <v>134</v>
      </c>
      <c r="C104" s="399">
        <v>150</v>
      </c>
      <c r="D104" s="407">
        <f>C104*D12</f>
        <v>51.470588235294116</v>
      </c>
    </row>
    <row r="105" spans="1:4" ht="12.75">
      <c r="A105" s="413"/>
      <c r="B105" s="237" t="s">
        <v>137</v>
      </c>
      <c r="C105" s="400">
        <v>178</v>
      </c>
      <c r="D105" s="193">
        <f>C105*D13</f>
        <v>116.92156862745098</v>
      </c>
    </row>
    <row r="106" spans="1:4" ht="13.5" thickBot="1">
      <c r="A106" s="414"/>
      <c r="B106" s="238"/>
      <c r="C106" s="401"/>
      <c r="D106" s="408">
        <f>C106*D14</f>
        <v>0</v>
      </c>
    </row>
    <row r="107" spans="1:4" ht="12.75" customHeight="1">
      <c r="A107" s="412" t="s">
        <v>189</v>
      </c>
      <c r="B107" s="239"/>
      <c r="C107" s="399"/>
      <c r="D107" s="407">
        <f>C107*D15</f>
        <v>0</v>
      </c>
    </row>
    <row r="108" spans="1:4" ht="12.75">
      <c r="A108" s="413"/>
      <c r="B108" s="240"/>
      <c r="C108" s="402"/>
      <c r="D108" s="193">
        <f>C108*D16</f>
        <v>0</v>
      </c>
    </row>
    <row r="109" spans="1:4" ht="13.5" thickBot="1">
      <c r="A109" s="414"/>
      <c r="B109" s="238"/>
      <c r="C109" s="403"/>
      <c r="D109" s="408">
        <f>C109*D17</f>
        <v>0</v>
      </c>
    </row>
    <row r="110" spans="1:4" ht="12.75">
      <c r="A110" s="224" t="s">
        <v>41</v>
      </c>
      <c r="B110" s="236"/>
      <c r="C110" s="399"/>
      <c r="D110" s="407">
        <f>C110*D18</f>
        <v>0</v>
      </c>
    </row>
    <row r="111" spans="1:4" ht="12.75">
      <c r="A111" s="223"/>
      <c r="B111" s="241"/>
      <c r="C111" s="402"/>
      <c r="D111" s="193">
        <f>C111*D19</f>
        <v>0</v>
      </c>
    </row>
    <row r="112" spans="1:4" ht="13.5" thickBot="1">
      <c r="A112" s="234"/>
      <c r="B112" s="242"/>
      <c r="C112" s="403"/>
      <c r="D112" s="408">
        <f>C112*D20</f>
        <v>0</v>
      </c>
    </row>
    <row r="113" spans="1:4" ht="12.75">
      <c r="A113" s="225" t="s">
        <v>42</v>
      </c>
      <c r="B113" s="236"/>
      <c r="C113" s="399"/>
      <c r="D113" s="407">
        <f>C113*D21</f>
        <v>0</v>
      </c>
    </row>
    <row r="114" spans="1:4" ht="13.5" thickBot="1">
      <c r="A114" s="235"/>
      <c r="B114" s="243"/>
      <c r="C114" s="404"/>
      <c r="D114" s="409">
        <f>C114*D22</f>
        <v>0</v>
      </c>
    </row>
    <row r="115" spans="1:4" ht="12.75">
      <c r="A115" s="225" t="s">
        <v>183</v>
      </c>
      <c r="B115" s="236"/>
      <c r="C115" s="399"/>
      <c r="D115" s="407">
        <f>C115*D23</f>
        <v>0</v>
      </c>
    </row>
    <row r="116" spans="1:4" ht="13.5" thickBot="1">
      <c r="A116" s="226"/>
      <c r="B116" s="245"/>
      <c r="C116" s="401"/>
      <c r="D116" s="409">
        <f>C116*D24</f>
        <v>0</v>
      </c>
    </row>
    <row r="117" spans="1:4" ht="12.75">
      <c r="A117" s="225" t="s">
        <v>183</v>
      </c>
      <c r="B117" s="237"/>
      <c r="C117" s="400"/>
      <c r="D117" s="407">
        <f>C117*D25</f>
        <v>0</v>
      </c>
    </row>
    <row r="118" spans="1:4" ht="13.5" thickBot="1">
      <c r="A118" s="235"/>
      <c r="B118" s="243"/>
      <c r="C118" s="404"/>
      <c r="D118" s="409">
        <f>C118*D26</f>
        <v>0</v>
      </c>
    </row>
    <row r="119" spans="1:4" ht="12.75">
      <c r="A119" s="224" t="s">
        <v>34</v>
      </c>
      <c r="B119" s="236"/>
      <c r="C119" s="399"/>
      <c r="D119" s="407">
        <f>C119*D27</f>
        <v>0</v>
      </c>
    </row>
    <row r="120" spans="1:4" ht="13.5" thickBot="1">
      <c r="A120" s="223"/>
      <c r="B120" s="244"/>
      <c r="C120" s="404"/>
      <c r="D120" s="409">
        <f>C120*D28</f>
        <v>0</v>
      </c>
    </row>
    <row r="121" spans="1:4" ht="12.75">
      <c r="A121" s="396" t="s">
        <v>186</v>
      </c>
      <c r="B121" s="303" t="s">
        <v>158</v>
      </c>
      <c r="C121" s="405">
        <v>700</v>
      </c>
      <c r="D121" s="410">
        <f>C121</f>
        <v>700</v>
      </c>
    </row>
    <row r="122" spans="1:4" ht="21" customHeight="1" thickBot="1">
      <c r="A122" s="223"/>
      <c r="B122" s="326"/>
      <c r="C122" s="406"/>
      <c r="D122" s="411">
        <f>C122</f>
        <v>0</v>
      </c>
    </row>
    <row r="123" spans="1:4" ht="18.75" thickBot="1">
      <c r="A123" s="327" t="s">
        <v>132</v>
      </c>
      <c r="B123" s="259"/>
      <c r="C123" s="329"/>
      <c r="D123" s="328">
        <f>SUM(D104:D120,D121:D122)</f>
        <v>868.3921568627451</v>
      </c>
    </row>
    <row r="124" spans="1:4" ht="18.75" thickBot="1">
      <c r="A124" s="256" t="s">
        <v>187</v>
      </c>
      <c r="B124" s="257"/>
      <c r="C124" s="324"/>
      <c r="D124" s="258">
        <v>1100</v>
      </c>
    </row>
    <row r="125" spans="1:4" ht="18.75" thickBot="1">
      <c r="A125" s="139" t="s">
        <v>185</v>
      </c>
      <c r="B125" s="259"/>
      <c r="C125" s="260"/>
      <c r="D125" s="261" t="b">
        <f>D123&lt;D124</f>
        <v>1</v>
      </c>
    </row>
  </sheetData>
  <sheetProtection/>
  <mergeCells count="39">
    <mergeCell ref="X10:Y10"/>
    <mergeCell ref="Z10:AA10"/>
    <mergeCell ref="A104:A106"/>
    <mergeCell ref="A107:A109"/>
    <mergeCell ref="G63:I63"/>
    <mergeCell ref="G62:I62"/>
    <mergeCell ref="J39:M39"/>
    <mergeCell ref="D31:G31"/>
    <mergeCell ref="S31:V31"/>
    <mergeCell ref="F68:I68"/>
    <mergeCell ref="D73:J73"/>
    <mergeCell ref="E86:H86"/>
    <mergeCell ref="AD8:AE8"/>
    <mergeCell ref="AD9:AE9"/>
    <mergeCell ref="AD10:AE10"/>
    <mergeCell ref="Q10:U10"/>
    <mergeCell ref="V10:W10"/>
    <mergeCell ref="A52:B52"/>
    <mergeCell ref="I57:J58"/>
    <mergeCell ref="A55:B55"/>
    <mergeCell ref="A54:B54"/>
    <mergeCell ref="A53:B53"/>
    <mergeCell ref="A1:T1"/>
    <mergeCell ref="C3:H3"/>
    <mergeCell ref="C4:H4"/>
    <mergeCell ref="A9:E9"/>
    <mergeCell ref="A34:J34"/>
    <mergeCell ref="A51:B51"/>
    <mergeCell ref="A50:B50"/>
    <mergeCell ref="Q9:AA9"/>
    <mergeCell ref="C10:D10"/>
    <mergeCell ref="E10:K10"/>
    <mergeCell ref="A2:D2"/>
    <mergeCell ref="L10:P10"/>
    <mergeCell ref="A47:B47"/>
    <mergeCell ref="C47:F47"/>
    <mergeCell ref="I49:J49"/>
    <mergeCell ref="A48:B48"/>
    <mergeCell ref="A49:B49"/>
  </mergeCells>
  <printOptions/>
  <pageMargins left="0.4330708661417323" right="0.7480314960629921" top="0.984251968503937" bottom="0.984251968503937" header="0.5118110236220472" footer="0.5118110236220472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Niina Tanskanen</dc:creator>
  <cp:keywords/>
  <dc:description/>
  <cp:lastModifiedBy>Niina Tanskanen</cp:lastModifiedBy>
  <cp:lastPrinted>2011-11-14T11:00:18Z</cp:lastPrinted>
  <dcterms:created xsi:type="dcterms:W3CDTF">2000-05-16T11:48:58Z</dcterms:created>
  <dcterms:modified xsi:type="dcterms:W3CDTF">2011-11-14T11:02:46Z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Dokument</vt:lpwstr>
  </property>
</Properties>
</file>